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VYHODNOCENí 1." sheetId="1" state="visible" r:id="rId2"/>
    <sheet name="VYHODNOCENí I." sheetId="2" state="visible" r:id="rId3"/>
    <sheet name="VYHODNOCENí II." sheetId="3" state="visible" r:id="rId4"/>
    <sheet name="VYHODNOCENí III." sheetId="4" state="visible" r:id="rId5"/>
    <sheet name="VYHODNOCENí 2." sheetId="5" state="visible" r:id="rId6"/>
    <sheet name="VYHODNOCENí CELKEM" sheetId="6" state="visible" r:id="rId7"/>
  </sheets>
  <definedNames>
    <definedName function="false" hidden="false" localSheetId="1" name="_xlnm.Print_Area" vbProcedure="false">'VYHODNOCENí I.'!$A$1:$J$58</definedName>
    <definedName function="false" hidden="false" name="_xlnm_Print_Area_1" vbProcedure="false">'VYHODNOCENí I.'!$A$1:$J$58</definedName>
    <definedName function="false" hidden="false" name="__xlnm_Print_Area_1" vbProcedure="false">'VYHODNOCENí I.'!$A$1:$J$58</definedName>
    <definedName function="false" hidden="false" name="__xlnm_Print_Area_2" vbProcedure="false">"#REF!"</definedName>
    <definedName function="false" hidden="false" name="__xlnm_Print_Area_3" vbProcedure="false">"#REF!"</definedName>
    <definedName function="false" hidden="false" name="__xlnm_Print_Area_4" vbProcedure="false">"#REF!"</definedName>
    <definedName function="false" hidden="false" name="__xlnm_Print_Area_5" vbProcedure="false">"#REF!"</definedName>
    <definedName function="false" hidden="false" name="__xlnm_Print_Area_6" vbProcedure="false">"#REF!"</definedName>
    <definedName function="false" hidden="false" localSheetId="2" name="Excel_BuiltIn_Print_Area" vbProcedure="false">'VYHODNOCENí II.'!$A$1:$J$58</definedName>
    <definedName function="false" hidden="false" localSheetId="3" name="Excel_BuiltIn_Print_Area" vbProcedure="false">'VYHODNOCENí III.'!$A$1:$J$58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<sst xmlns="http://schemas.openxmlformats.org/spreadsheetml/2006/main" count="430" uniqueCount="59">
  <si>
    <t xml:space="preserve">Základní školy</t>
  </si>
  <si>
    <t xml:space="preserve">Pololetí</t>
  </si>
  <si>
    <t xml:space="preserve">1.</t>
  </si>
  <si>
    <t xml:space="preserve">Škol. Rok.:</t>
  </si>
  <si>
    <t xml:space="preserve">2017-18</t>
  </si>
  <si>
    <t xml:space="preserve">Po výuce</t>
  </si>
  <si>
    <t xml:space="preserve">Třída</t>
  </si>
  <si>
    <t xml:space="preserve">Počet</t>
  </si>
  <si>
    <t xml:space="preserve">V</t>
  </si>
  <si>
    <t xml:space="preserve">žáků</t>
  </si>
  <si>
    <t xml:space="preserve">&lt;10 m</t>
  </si>
  <si>
    <t xml:space="preserve">10-24 m</t>
  </si>
  <si>
    <t xml:space="preserve">25-99 m</t>
  </si>
  <si>
    <t xml:space="preserve">100&lt; m</t>
  </si>
  <si>
    <t xml:space="preserve">plavců</t>
  </si>
  <si>
    <t xml:space="preserve">%</t>
  </si>
  <si>
    <t xml:space="preserve">2.</t>
  </si>
  <si>
    <t xml:space="preserve">3.</t>
  </si>
  <si>
    <t xml:space="preserve">4.</t>
  </si>
  <si>
    <t xml:space="preserve">5.</t>
  </si>
  <si>
    <t xml:space="preserve">Celkem</t>
  </si>
  <si>
    <t xml:space="preserve">Sportovní třídy</t>
  </si>
  <si>
    <t xml:space="preserve">Souhrn</t>
  </si>
  <si>
    <t xml:space="preserve">Celkem žáků ZŠ v 1. pololetí:</t>
  </si>
  <si>
    <t xml:space="preserve">Cyklus :</t>
  </si>
  <si>
    <t xml:space="preserve">I.</t>
  </si>
  <si>
    <t xml:space="preserve">Mateřské školy</t>
  </si>
  <si>
    <t xml:space="preserve">Splývající</t>
  </si>
  <si>
    <t xml:space="preserve">dětí</t>
  </si>
  <si>
    <t xml:space="preserve">nesplývá</t>
  </si>
  <si>
    <t xml:space="preserve">splývá</t>
  </si>
  <si>
    <t xml:space="preserve">Plave 10 m</t>
  </si>
  <si>
    <t xml:space="preserve">v %</t>
  </si>
  <si>
    <t xml:space="preserve">MŠ</t>
  </si>
  <si>
    <t xml:space="preserve">Sportovní MŠ</t>
  </si>
  <si>
    <t xml:space="preserve">MŠS</t>
  </si>
  <si>
    <t xml:space="preserve">Sportovní cluby</t>
  </si>
  <si>
    <t xml:space="preserve">sportovní club</t>
  </si>
  <si>
    <t xml:space="preserve">Potápky</t>
  </si>
  <si>
    <t xml:space="preserve">Orkaclub</t>
  </si>
  <si>
    <t xml:space="preserve">Karetaclub</t>
  </si>
  <si>
    <t xml:space="preserve">Delficlub</t>
  </si>
  <si>
    <t xml:space="preserve">Willyclub</t>
  </si>
  <si>
    <t xml:space="preserve">AQR</t>
  </si>
  <si>
    <t xml:space="preserve">Celkem žáků ZŠ v I. cyklu:</t>
  </si>
  <si>
    <t xml:space="preserve">Celkem dětí MŠ v I. cyklu:</t>
  </si>
  <si>
    <t xml:space="preserve">II.</t>
  </si>
  <si>
    <t xml:space="preserve">Celkem žáků ZŠ v II. cyklu:</t>
  </si>
  <si>
    <t xml:space="preserve">Celkem dětí MŠ v II. cyklu:</t>
  </si>
  <si>
    <t xml:space="preserve">III.</t>
  </si>
  <si>
    <t xml:space="preserve">Celkem žáků ZŠ v III. cyklu:</t>
  </si>
  <si>
    <t xml:space="preserve">Celkem dětí MŠ v III. cyklu:</t>
  </si>
  <si>
    <t xml:space="preserve">Celkem žáků ZŠ v 2. pololetí:</t>
  </si>
  <si>
    <t xml:space="preserve">Aquajuniorclub</t>
  </si>
  <si>
    <t xml:space="preserve">LPPT</t>
  </si>
  <si>
    <t xml:space="preserve">Celkem žáků ZŠ:</t>
  </si>
  <si>
    <t xml:space="preserve">Celkem dětí MŠ:</t>
  </si>
  <si>
    <t xml:space="preserve">Cluby:</t>
  </si>
  <si>
    <t xml:space="preserve">Celkem dětí: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</si>
</sst>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1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2"/>
      <name val="Arial"/>
      <family val="2"/>
      <charset val="238"/>
    </font>
    <font>
      <b val="true"/>
      <sz val="17"/>
      <name val="Arial CE"/>
      <family val="2"/>
      <charset val="238"/>
    </font>
    <font>
      <b val="true"/>
      <sz val="14"/>
      <name val="Arial CE"/>
      <family val="2"/>
      <charset val="238"/>
    </font>
    <font>
      <b val="true"/>
      <sz val="12"/>
      <name val="Arial CE"/>
      <family val="2"/>
      <charset val="238"/>
    </font>
    <font>
      <b val="true"/>
      <sz val="12"/>
      <name val="Arial"/>
      <family val="2"/>
      <charset val="238"/>
    </font>
    <font>
      <sz val="12"/>
      <name val="Arial CE"/>
      <family val="2"/>
      <charset val="238"/>
    </font>
    <font>
      <b val="true"/>
      <sz val="11"/>
      <name val="Arial CE"/>
      <family val="2"/>
      <charset val="238"/>
    </font>
    <font>
      <b val="true"/>
      <sz val="18"/>
      <name val="Arial"/>
      <family val="2"/>
      <charset val="238"/>
    </font>
    <font>
      <sz val="18"/>
      <name val="Arial"/>
      <family val="2"/>
      <charset val="238"/>
    </font>
    <font>
      <b val="true"/>
      <sz val="18"/>
      <color rgb="FF000000"/>
      <name val="Times New Roman"/>
      <family val="0"/>
      <charset val="238"/>
    </font>
  </fonts>
  <fills count="2">
    <fill>
      <patternFill patternType="none"/>
    </fill>
    <fill>
      <patternFill patternType="gray125"/>
    </fill>
  </fills>
  <borders count="53">
    <border diagonalUp="false" diagonalDown="false">
      <left/>
      <right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ck"/>
      <right/>
      <top/>
      <bottom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ck"/>
      <right style="thick"/>
      <top/>
      <bottom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/>
      <top style="thick"/>
      <bottom/>
      <diagonal/>
    </border>
    <border diagonalUp="false" diagonalDown="false">
      <left style="thick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ck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n"/>
      <right style="thin"/>
      <top/>
      <bottom style="thick"/>
      <diagonal/>
    </border>
    <border diagonalUp="false" diagonalDown="false">
      <left/>
      <right/>
      <top style="thick"/>
      <bottom style="thick"/>
      <diagonal/>
    </border>
    <border diagonalUp="false" diagonalDown="false">
      <left style="thick"/>
      <right/>
      <top style="thick"/>
      <bottom style="thin"/>
      <diagonal/>
    </border>
    <border diagonalUp="false" diagonalDown="false">
      <left/>
      <right/>
      <top style="thick"/>
      <bottom style="thin"/>
      <diagonal/>
    </border>
    <border diagonalUp="false" diagonalDown="false">
      <left/>
      <right style="thick"/>
      <top style="thick"/>
      <bottom/>
      <diagonal/>
    </border>
    <border diagonalUp="false" diagonalDown="false">
      <left style="thick"/>
      <right style="thick"/>
      <top style="thick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 style="thin"/>
      <bottom style="thick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thin"/>
      <top style="thick"/>
      <bottom style="medium"/>
      <diagonal/>
    </border>
    <border diagonalUp="false" diagonalDown="false">
      <left style="thin"/>
      <right style="thick"/>
      <top style="thick"/>
      <bottom style="medium"/>
      <diagonal/>
    </border>
    <border diagonalUp="false" diagonalDown="false">
      <left style="thick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  <border diagonalUp="false" diagonalDown="false">
      <left style="thick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thick"/>
      <top style="thin"/>
      <bottom style="medium"/>
      <diagonal/>
    </border>
    <border diagonalUp="false" diagonalDown="false">
      <left style="thick"/>
      <right/>
      <top style="medium"/>
      <bottom style="thick"/>
      <diagonal/>
    </border>
    <border diagonalUp="false" diagonalDown="false">
      <left/>
      <right style="thin"/>
      <top style="medium"/>
      <bottom style="thick"/>
      <diagonal/>
    </border>
    <border diagonalUp="false" diagonalDown="false">
      <left/>
      <right style="thick"/>
      <top style="medium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ck"/>
      <right style="hair"/>
      <top style="thick"/>
      <bottom/>
      <diagonal/>
    </border>
    <border diagonalUp="false" diagonalDown="false">
      <left style="hair"/>
      <right style="hair"/>
      <top style="thick"/>
      <bottom/>
      <diagonal/>
    </border>
    <border diagonalUp="false" diagonalDown="false">
      <left style="hair"/>
      <right/>
      <top style="thick"/>
      <bottom style="thick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thick"/>
      <right style="thick"/>
      <top style="thin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9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1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2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9" fillId="0" borderId="1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7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6" fontId="9" fillId="0" borderId="1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3" xfId="2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9" fillId="0" borderId="1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20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0" xfId="2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2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3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4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5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26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27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28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29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30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0" borderId="3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2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5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34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12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6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7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38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39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40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4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42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8" fillId="0" borderId="43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9" fillId="0" borderId="4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1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8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6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7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8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49" xfId="2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0" borderId="50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2" fillId="0" borderId="5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0" borderId="51" xfId="2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1" fillId="0" borderId="52" xfId="20" applyFont="true" applyBorder="true" applyAlignment="tru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 1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117720</xdr:colOff>
      <xdr:row>28</xdr:row>
      <xdr:rowOff>208800</xdr:rowOff>
    </xdr:from>
    <xdr:to>
      <xdr:col>7</xdr:col>
      <xdr:colOff>578160</xdr:colOff>
      <xdr:row>30</xdr:row>
      <xdr:rowOff>131400</xdr:rowOff>
    </xdr:to>
    <xdr:sp>
      <xdr:nvSpPr>
        <xdr:cNvPr id="0" name="CustomShape 1"/>
        <xdr:cNvSpPr/>
      </xdr:nvSpPr>
      <xdr:spPr>
        <a:xfrm rot="21060000">
          <a:off x="1967400" y="6479280"/>
          <a:ext cx="3317760" cy="360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>
            <a:lnSpc>
              <a:spcPct val="100000"/>
            </a:lnSpc>
          </a:pPr>
          <a:r>
            <a:rPr b="1" lang="cs-CZ" sz="1800" spc="-1" strike="noStrike">
              <a:solidFill>
                <a:srgbClr val="000000"/>
              </a:solidFill>
              <a:latin typeface="Times New Roman"/>
            </a:rPr>
            <a:t>Sportovní třídy plavou pololetně</a:t>
          </a:r>
          <a:endParaRPr b="0" lang="cs-CZ" sz="18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49680</xdr:colOff>
      <xdr:row>29</xdr:row>
      <xdr:rowOff>56160</xdr:rowOff>
    </xdr:from>
    <xdr:to>
      <xdr:col>7</xdr:col>
      <xdr:colOff>510120</xdr:colOff>
      <xdr:row>30</xdr:row>
      <xdr:rowOff>198000</xdr:rowOff>
    </xdr:to>
    <xdr:sp>
      <xdr:nvSpPr>
        <xdr:cNvPr id="1" name="CustomShape 1"/>
        <xdr:cNvSpPr/>
      </xdr:nvSpPr>
      <xdr:spPr>
        <a:xfrm rot="21060000">
          <a:off x="1899360" y="6545880"/>
          <a:ext cx="3317760" cy="360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>
            <a:lnSpc>
              <a:spcPct val="100000"/>
            </a:lnSpc>
          </a:pPr>
          <a:r>
            <a:rPr b="1" lang="cs-CZ" sz="1800" spc="-1" strike="noStrike">
              <a:solidFill>
                <a:srgbClr val="000000"/>
              </a:solidFill>
              <a:latin typeface="Times New Roman"/>
            </a:rPr>
            <a:t>Sportovní třídy plavou pololetně</a:t>
          </a:r>
          <a:endParaRPr b="0" lang="cs-CZ" sz="1800" spc="-1" strike="noStrike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95040</xdr:colOff>
      <xdr:row>29</xdr:row>
      <xdr:rowOff>720</xdr:rowOff>
    </xdr:from>
    <xdr:to>
      <xdr:col>7</xdr:col>
      <xdr:colOff>555480</xdr:colOff>
      <xdr:row>30</xdr:row>
      <xdr:rowOff>142560</xdr:rowOff>
    </xdr:to>
    <xdr:sp>
      <xdr:nvSpPr>
        <xdr:cNvPr id="2" name="CustomShape 1"/>
        <xdr:cNvSpPr/>
      </xdr:nvSpPr>
      <xdr:spPr>
        <a:xfrm rot="21060000">
          <a:off x="1944720" y="6490440"/>
          <a:ext cx="3317760" cy="36072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lnTo>
                <a:pt x="0" y="0"/>
              </a:lnTo>
              <a:close/>
            </a:path>
          </a:pathLst>
        </a:cu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0" rIns="0" tIns="0" bIns="0">
          <a:noAutofit/>
        </a:bodyPr>
        <a:p>
          <a:pPr>
            <a:lnSpc>
              <a:spcPct val="100000"/>
            </a:lnSpc>
          </a:pPr>
          <a:r>
            <a:rPr b="1" lang="cs-CZ" sz="1800" spc="-1" strike="noStrike">
              <a:solidFill>
                <a:srgbClr val="000000"/>
              </a:solidFill>
              <a:latin typeface="Times New Roman"/>
            </a:rPr>
            <a:t>Sportovní třídy plavou pololetně</a:t>
          </a:r>
          <a:endParaRPr b="0" lang="cs-CZ" sz="1800" spc="-1" strike="noStrike">
            <a:latin typeface="Times New Roman"/>
          </a:endParaRPr>
        </a:p>
      </xdr:txBody>
    </xdr:sp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8"/>
  <sheetViews>
    <sheetView showFormulas="false" showGridLines="true" showRowColHeaders="true" showZeros="true" rightToLeft="false" tabSelected="fals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 t="s">
        <v>1</v>
      </c>
      <c r="F2" s="6" t="s">
        <v>2</v>
      </c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v>0</v>
      </c>
      <c r="D7" s="20" t="n">
        <v>0</v>
      </c>
      <c r="E7" s="21" t="n">
        <v>0</v>
      </c>
      <c r="F7" s="21" t="n">
        <v>0</v>
      </c>
      <c r="G7" s="21" t="n">
        <v>0</v>
      </c>
      <c r="H7" s="22" t="n">
        <v>0</v>
      </c>
      <c r="I7" s="23" t="n">
        <f aca="false">IF(C7&lt;&gt;0,H7/(C7/100),0)</f>
        <v>0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24" t="n">
        <f aca="false">27+22+19+11+24+25+24+25+15+19+19+20</f>
        <v>250</v>
      </c>
      <c r="D8" s="25" t="n">
        <f aca="false">0+2+2+2+7+3+5+3+7+1+1+0</f>
        <v>33</v>
      </c>
      <c r="E8" s="26" t="n">
        <f aca="false">12+4+4+2+2+3+1+2+3+7+3+0</f>
        <v>43</v>
      </c>
      <c r="F8" s="26" t="n">
        <f aca="false">10+8+7+5+8+7+9+9+3+3+8+11</f>
        <v>88</v>
      </c>
      <c r="G8" s="26" t="n">
        <f aca="false">5+8+6+2+7+12+9+11+2+8+7+9</f>
        <v>86</v>
      </c>
      <c r="H8" s="27" t="n">
        <f aca="false">5+7+6+2+6+9+9+6+2+7+6+6</f>
        <v>71</v>
      </c>
      <c r="I8" s="28" t="n">
        <f aca="false">IF(C8&lt;&gt;0,H8/(C8/100),0)</f>
        <v>28.4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24" t="n">
        <f aca="false">23+25+28+26+19+17+27+28+28+26+27+23+23+25+25+22</f>
        <v>392</v>
      </c>
      <c r="D9" s="25" t="n">
        <f aca="false">2+1+3+3+0+2+1+0+2+1+2+3+1+0+1+0</f>
        <v>22</v>
      </c>
      <c r="E9" s="26" t="n">
        <f aca="false">1+2+0+3+2+5+2+2+2+1+3+1+2+1+2+4</f>
        <v>33</v>
      </c>
      <c r="F9" s="26" t="n">
        <f aca="false">5+6+6+7+6+3+7+6+5+10+4+4+7+7+6+4</f>
        <v>93</v>
      </c>
      <c r="G9" s="26" t="n">
        <f aca="false">15+16+19+13+11+7+17+20+19+14+18+15+13+17+16+14</f>
        <v>244</v>
      </c>
      <c r="H9" s="27" t="n">
        <f aca="false">12+14+19+10+10+6+15+19+16+13+14+14+12+17+16+13</f>
        <v>220</v>
      </c>
      <c r="I9" s="28" t="n">
        <f aca="false">IF(C9&lt;&gt;0,H9/(C9/100),0)</f>
        <v>56.1224489795918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24" t="n">
        <f aca="false">27</f>
        <v>27</v>
      </c>
      <c r="D10" s="25" t="n">
        <f aca="false">1</f>
        <v>1</v>
      </c>
      <c r="E10" s="26" t="n">
        <f aca="false">1</f>
        <v>1</v>
      </c>
      <c r="F10" s="26" t="n">
        <f aca="false">2</f>
        <v>2</v>
      </c>
      <c r="G10" s="26" t="n">
        <f aca="false">23</f>
        <v>23</v>
      </c>
      <c r="H10" s="27" t="n">
        <f aca="false">23</f>
        <v>23</v>
      </c>
      <c r="I10" s="28" t="n">
        <f aca="false">IF(C10&lt;&gt;0,H10/(C10/100),0)</f>
        <v>85.1851851851852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20" t="n">
        <v>0</v>
      </c>
      <c r="D11" s="29" t="n">
        <v>0</v>
      </c>
      <c r="E11" s="30" t="n">
        <v>0</v>
      </c>
      <c r="F11" s="30" t="n">
        <v>0</v>
      </c>
      <c r="G11" s="30" t="n">
        <v>0</v>
      </c>
      <c r="H11" s="31" t="n">
        <v>0</v>
      </c>
      <c r="I11" s="32" t="n">
        <f aca="false">IF(C11&lt;&gt;0,H11/(C11/100),0)</f>
        <v>0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669</v>
      </c>
      <c r="D12" s="20" t="n">
        <f aca="false">SUM(D7:D11)</f>
        <v>56</v>
      </c>
      <c r="E12" s="21" t="n">
        <f aca="false">SUM(E7:E11)</f>
        <v>77</v>
      </c>
      <c r="F12" s="21" t="n">
        <f aca="false">SUM(F7:F11)</f>
        <v>183</v>
      </c>
      <c r="G12" s="21" t="n">
        <f aca="false">SUM(G7:G11)</f>
        <v>353</v>
      </c>
      <c r="H12" s="22" t="n">
        <f aca="false">SUM(H7:H11)</f>
        <v>314</v>
      </c>
      <c r="I12" s="23" t="n">
        <f aca="false">IF(C12&lt;&gt;0,H12/(C12/100),0)</f>
        <v>46.9357249626308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/>
      <c r="C14" s="2"/>
      <c r="D14" s="2"/>
      <c r="E14" s="5"/>
      <c r="F14" s="6"/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/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/>
      <c r="C17" s="9"/>
      <c r="D17" s="9"/>
      <c r="E17" s="12"/>
      <c r="F17" s="12"/>
      <c r="G17" s="12"/>
      <c r="H17" s="9"/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/>
      <c r="D18" s="34"/>
      <c r="E18" s="35"/>
      <c r="F18" s="36"/>
      <c r="G18" s="36"/>
      <c r="H18" s="14"/>
      <c r="I18" s="14"/>
      <c r="J18" s="13"/>
      <c r="K18" s="2"/>
    </row>
    <row r="19" customFormat="false" ht="18.95" hidden="false" customHeight="true" outlineLevel="0" collapsed="false">
      <c r="A19" s="2"/>
      <c r="B19" s="9"/>
      <c r="C19" s="19"/>
      <c r="D19" s="37"/>
      <c r="E19" s="38"/>
      <c r="F19" s="39"/>
      <c r="G19" s="39"/>
      <c r="H19" s="40"/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 t="s">
        <v>1</v>
      </c>
      <c r="F22" s="6" t="s">
        <v>2</v>
      </c>
      <c r="G22" s="4"/>
      <c r="H22" s="5" t="s">
        <v>3</v>
      </c>
      <c r="I22" s="6" t="s">
        <v>4</v>
      </c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 t="n">
        <f aca="false">8+8+8+11+9+2</f>
        <v>46</v>
      </c>
      <c r="D27" s="20" t="n">
        <f aca="false">4+4+2+11+8+0</f>
        <v>29</v>
      </c>
      <c r="E27" s="21" t="n">
        <f aca="false">0+4+6+0+1+1</f>
        <v>12</v>
      </c>
      <c r="F27" s="21" t="n">
        <f aca="false">4+0+0+0+0+1</f>
        <v>5</v>
      </c>
      <c r="G27" s="21" t="n">
        <f aca="false">0+0+0+0+0+0</f>
        <v>0</v>
      </c>
      <c r="H27" s="22" t="n">
        <f aca="false">0</f>
        <v>0</v>
      </c>
      <c r="I27" s="23" t="n">
        <f aca="false">IF(C27&lt;&gt;0,H27/(C27/100),0)</f>
        <v>0</v>
      </c>
      <c r="J27" s="13"/>
    </row>
    <row r="28" customFormat="false" ht="17.25" hidden="false" customHeight="true" outlineLevel="0" collapsed="false">
      <c r="B28" s="18" t="s">
        <v>16</v>
      </c>
      <c r="C28" s="24" t="n">
        <f aca="false">1+7</f>
        <v>8</v>
      </c>
      <c r="D28" s="25" t="n">
        <f aca="false">1+0</f>
        <v>1</v>
      </c>
      <c r="E28" s="26" t="n">
        <f aca="false">2</f>
        <v>2</v>
      </c>
      <c r="F28" s="26" t="n">
        <f aca="false">3</f>
        <v>3</v>
      </c>
      <c r="G28" s="26" t="n">
        <f aca="false">2</f>
        <v>2</v>
      </c>
      <c r="H28" s="27" t="n">
        <v>2</v>
      </c>
      <c r="I28" s="28" t="n">
        <f aca="false">IF(C28&lt;&gt;0,H28/(C28/100),0)</f>
        <v>25</v>
      </c>
      <c r="J28" s="13"/>
    </row>
    <row r="29" customFormat="false" ht="17.25" hidden="false" customHeight="true" outlineLevel="0" collapsed="false">
      <c r="B29" s="18" t="s">
        <v>17</v>
      </c>
      <c r="C29" s="24"/>
      <c r="D29" s="25"/>
      <c r="E29" s="26"/>
      <c r="F29" s="26"/>
      <c r="G29" s="26"/>
      <c r="H29" s="27"/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24"/>
      <c r="D30" s="25"/>
      <c r="E30" s="26"/>
      <c r="F30" s="26"/>
      <c r="G30" s="26"/>
      <c r="H30" s="27"/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20"/>
      <c r="D31" s="29"/>
      <c r="E31" s="30"/>
      <c r="F31" s="41"/>
      <c r="G31" s="30"/>
      <c r="H31" s="31"/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54</v>
      </c>
      <c r="D32" s="20" t="n">
        <f aca="false">SUM(D27:D31)</f>
        <v>30</v>
      </c>
      <c r="E32" s="21" t="n">
        <f aca="false">SUM(E27:E31)</f>
        <v>14</v>
      </c>
      <c r="F32" s="21" t="n">
        <f aca="false">SUM(F27:F31)</f>
        <v>8</v>
      </c>
      <c r="G32" s="21" t="n">
        <f aca="false">SUM(G27:G31)</f>
        <v>2</v>
      </c>
      <c r="H32" s="22" t="n">
        <f aca="false">SUM(H27:H31)</f>
        <v>2</v>
      </c>
      <c r="I32" s="23" t="n">
        <f aca="false">IF(C32&lt;&gt;0,H32/(C32/100),0)</f>
        <v>3.7037037037037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/>
      <c r="C34" s="2"/>
      <c r="D34" s="2"/>
      <c r="E34" s="5"/>
      <c r="F34" s="6"/>
      <c r="G34" s="4"/>
      <c r="H34" s="5"/>
      <c r="I34" s="6"/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/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/>
      <c r="C37" s="9"/>
      <c r="D37" s="9"/>
      <c r="E37" s="12"/>
      <c r="F37" s="12"/>
      <c r="G37" s="12"/>
      <c r="H37" s="11"/>
      <c r="I37" s="11"/>
    </row>
    <row r="38" customFormat="false" ht="17.25" hidden="false" customHeight="true" outlineLevel="0" collapsed="false">
      <c r="B38" s="14"/>
      <c r="C38" s="14"/>
      <c r="D38" s="34"/>
      <c r="E38" s="35"/>
      <c r="F38" s="36"/>
      <c r="G38" s="36"/>
      <c r="H38" s="17"/>
      <c r="I38" s="17"/>
    </row>
    <row r="39" customFormat="false" ht="17.25" hidden="false" customHeight="true" outlineLevel="0" collapsed="false">
      <c r="B39" s="18"/>
      <c r="C39" s="42"/>
      <c r="D39" s="43"/>
      <c r="E39" s="44"/>
      <c r="F39" s="45"/>
      <c r="G39" s="45"/>
      <c r="H39" s="40"/>
      <c r="I39" s="40"/>
    </row>
    <row r="40" customFormat="false" ht="15.75" hidden="false" customHeight="true" outlineLevel="0" collapsed="false"/>
    <row r="44" customFormat="false" ht="23.25" hidden="false" customHeight="true" outlineLevel="0" collapsed="false">
      <c r="B44" s="46" t="s">
        <v>22</v>
      </c>
    </row>
    <row r="45" customFormat="false" ht="15.75" hidden="false" customHeight="true" outlineLevel="0" collapsed="false"/>
    <row r="46" customFormat="false" ht="24" hidden="false" customHeight="true" outlineLevel="0" collapsed="false">
      <c r="B46" s="47" t="s">
        <v>23</v>
      </c>
      <c r="C46" s="48"/>
      <c r="D46" s="48"/>
      <c r="E46" s="48"/>
      <c r="F46" s="48"/>
      <c r="G46" s="49"/>
      <c r="H46" s="50" t="n">
        <f aca="false">C12+C32</f>
        <v>723</v>
      </c>
    </row>
    <row r="47" customFormat="false" ht="24" hidden="false" customHeight="true" outlineLevel="0" collapsed="false">
      <c r="B47" s="51"/>
      <c r="C47" s="52"/>
      <c r="D47" s="52"/>
      <c r="E47" s="52"/>
      <c r="F47" s="52"/>
      <c r="G47" s="53"/>
      <c r="H47" s="54" t="n">
        <f aca="false">C19+C39</f>
        <v>0</v>
      </c>
    </row>
    <row r="48" customFormat="false" ht="15.75" hidden="false" customHeight="true" outlineLevel="0" collapsed="false"/>
  </sheetData>
  <mergeCells count="14">
    <mergeCell ref="D4:I4"/>
    <mergeCell ref="D16:I16"/>
    <mergeCell ref="H17:I17"/>
    <mergeCell ref="F18:G18"/>
    <mergeCell ref="H18:I18"/>
    <mergeCell ref="F19:G19"/>
    <mergeCell ref="H19:I19"/>
    <mergeCell ref="D24:I24"/>
    <mergeCell ref="D36:I36"/>
    <mergeCell ref="H37:I37"/>
    <mergeCell ref="F38:G38"/>
    <mergeCell ref="H38:I38"/>
    <mergeCell ref="F39:G39"/>
    <mergeCell ref="H39:I39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58"/>
  <sheetViews>
    <sheetView showFormulas="false" showGridLines="true" showRowColHeaders="true" showZeros="true" rightToLeft="false" tabSelected="fals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 t="s">
        <v>24</v>
      </c>
      <c r="F2" s="6" t="s">
        <v>25</v>
      </c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f aca="false">10+2+7+9+24+18</f>
        <v>70</v>
      </c>
      <c r="D7" s="20" t="n">
        <f aca="false">6+1+5+6+10+12</f>
        <v>40</v>
      </c>
      <c r="E7" s="21" t="n">
        <f aca="false">1+1+0+1+11+3</f>
        <v>17</v>
      </c>
      <c r="F7" s="21" t="n">
        <f aca="false">0+0+2+1+3+3</f>
        <v>9</v>
      </c>
      <c r="G7" s="21" t="n">
        <f aca="false">0+0+0+1+0+0</f>
        <v>1</v>
      </c>
      <c r="H7" s="22" t="n">
        <f aca="false">0+0+0+1+0+0</f>
        <v>1</v>
      </c>
      <c r="I7" s="23" t="n">
        <f aca="false">IF(C7&lt;&gt;0,H7/(C7/100),0)</f>
        <v>1.42857142857143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24" t="n">
        <f aca="false">13+8+9+3+23+19</f>
        <v>75</v>
      </c>
      <c r="D8" s="25" t="n">
        <f aca="false">1+2+1+2+4+3</f>
        <v>13</v>
      </c>
      <c r="E8" s="26" t="n">
        <f aca="false">4+4+4+0+3+4</f>
        <v>19</v>
      </c>
      <c r="F8" s="26" t="n">
        <f aca="false">6+2+3+1+11+7</f>
        <v>30</v>
      </c>
      <c r="G8" s="26" t="n">
        <f aca="false">2+0+1+0+4+5</f>
        <v>12</v>
      </c>
      <c r="H8" s="27" t="n">
        <f aca="false">2+0+1+0+4+4</f>
        <v>11</v>
      </c>
      <c r="I8" s="28" t="n">
        <f aca="false">IF(C8&lt;&gt;0,H8/(C8/100),0)</f>
        <v>14.6666666666667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24" t="n">
        <f aca="false">11+12+26+4+6+19+23+7</f>
        <v>108</v>
      </c>
      <c r="D9" s="25" t="n">
        <f aca="false">2+0+1+0+2+2+2+0</f>
        <v>9</v>
      </c>
      <c r="E9" s="26" t="n">
        <f aca="false">2+1+3+1+2+3+6+2</f>
        <v>20</v>
      </c>
      <c r="F9" s="26" t="n">
        <f aca="false">2+3+12+1+1+5+9+4</f>
        <v>37</v>
      </c>
      <c r="G9" s="26" t="n">
        <f aca="false">5+8+10+2+1+9+6+1</f>
        <v>42</v>
      </c>
      <c r="H9" s="27" t="n">
        <f aca="false">5+7+10+2+1+8+5+1</f>
        <v>39</v>
      </c>
      <c r="I9" s="28" t="n">
        <f aca="false">IF(C9&lt;&gt;0,H9/(C9/100),0)</f>
        <v>36.1111111111111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24" t="n">
        <f aca="false">13+21+20+27+0+24+14+7+22+20+21+22+21+20</f>
        <v>252</v>
      </c>
      <c r="D10" s="25" t="n">
        <f aca="false">0+0+2+1+0+1+0+1+1+0+1+0+0+1</f>
        <v>8</v>
      </c>
      <c r="E10" s="26" t="n">
        <f aca="false">1+1+0+1+0+0+0+0+1+1+2+2+0+1</f>
        <v>10</v>
      </c>
      <c r="F10" s="26" t="n">
        <f aca="false">2+5+8+2+0+4+6+4+8+1+9+4+7+9</f>
        <v>69</v>
      </c>
      <c r="G10" s="26" t="n">
        <f aca="false">10+15+10+23+0+19+8+2+12+18+9+16+14+9</f>
        <v>165</v>
      </c>
      <c r="H10" s="27" t="n">
        <f aca="false">8+15+8+22+0+19+8+2+12+15+9+15+13+9</f>
        <v>155</v>
      </c>
      <c r="I10" s="28" t="n">
        <f aca="false">IF(C10&lt;&gt;0,H10/(C10/100),0)</f>
        <v>61.5079365079365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20" t="n">
        <f aca="false">5+3+18</f>
        <v>26</v>
      </c>
      <c r="D11" s="29" t="n">
        <f aca="false">0+0+0</f>
        <v>0</v>
      </c>
      <c r="E11" s="30" t="n">
        <f aca="false">0+0+1</f>
        <v>1</v>
      </c>
      <c r="F11" s="30" t="n">
        <f aca="false">1+1+2</f>
        <v>4</v>
      </c>
      <c r="G11" s="30" t="n">
        <f aca="false">4+2+15</f>
        <v>21</v>
      </c>
      <c r="H11" s="31" t="n">
        <f aca="false">4+2+18</f>
        <v>24</v>
      </c>
      <c r="I11" s="32" t="n">
        <f aca="false">IF(C11&lt;&gt;0,H11/(C11/100),0)</f>
        <v>92.3076923076923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531</v>
      </c>
      <c r="D12" s="20" t="n">
        <f aca="false">SUM(D7:D11)</f>
        <v>70</v>
      </c>
      <c r="E12" s="21" t="n">
        <f aca="false">SUM(E7:E11)</f>
        <v>67</v>
      </c>
      <c r="F12" s="21" t="n">
        <f aca="false">SUM(F7:F11)</f>
        <v>149</v>
      </c>
      <c r="G12" s="21" t="n">
        <f aca="false">SUM(G7:G11)</f>
        <v>241</v>
      </c>
      <c r="H12" s="22" t="n">
        <f aca="false">SUM(H7:H11)</f>
        <v>230</v>
      </c>
      <c r="I12" s="23" t="n">
        <f aca="false">IF(C12&lt;&gt;0,H12/(C12/100),0)</f>
        <v>43.3145009416196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 t="s">
        <v>26</v>
      </c>
      <c r="C14" s="2"/>
      <c r="D14" s="2"/>
      <c r="E14" s="5" t="s">
        <v>24</v>
      </c>
      <c r="F14" s="6" t="s">
        <v>25</v>
      </c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 t="s">
        <v>5</v>
      </c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 t="s">
        <v>6</v>
      </c>
      <c r="C17" s="9" t="s">
        <v>7</v>
      </c>
      <c r="D17" s="9"/>
      <c r="E17" s="12"/>
      <c r="F17" s="12"/>
      <c r="G17" s="12"/>
      <c r="H17" s="9" t="s">
        <v>27</v>
      </c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 t="s">
        <v>28</v>
      </c>
      <c r="D18" s="34" t="s">
        <v>29</v>
      </c>
      <c r="E18" s="35" t="s">
        <v>30</v>
      </c>
      <c r="F18" s="36" t="s">
        <v>31</v>
      </c>
      <c r="G18" s="36"/>
      <c r="H18" s="14" t="s">
        <v>32</v>
      </c>
      <c r="I18" s="14"/>
      <c r="J18" s="13"/>
      <c r="K18" s="2"/>
    </row>
    <row r="19" customFormat="false" ht="18.95" hidden="false" customHeight="true" outlineLevel="0" collapsed="false">
      <c r="A19" s="2"/>
      <c r="B19" s="9" t="s">
        <v>33</v>
      </c>
      <c r="C19" s="19" t="n">
        <v>126</v>
      </c>
      <c r="D19" s="37" t="n">
        <v>25</v>
      </c>
      <c r="E19" s="38" t="n">
        <v>87</v>
      </c>
      <c r="F19" s="39" t="n">
        <v>14</v>
      </c>
      <c r="G19" s="39"/>
      <c r="H19" s="40" t="n">
        <f aca="false">IF(C19&lt;&gt;0,F19/(C19/100),0)</f>
        <v>11.1111111111111</v>
      </c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/>
      <c r="F22" s="6"/>
      <c r="G22" s="4"/>
      <c r="H22" s="5" t="s">
        <v>3</v>
      </c>
      <c r="I22" s="6"/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/>
      <c r="D27" s="20"/>
      <c r="E27" s="21"/>
      <c r="F27" s="21"/>
      <c r="G27" s="21"/>
      <c r="H27" s="22" t="n">
        <f aca="false">SUM(E27:G27)</f>
        <v>0</v>
      </c>
      <c r="I27" s="23" t="n">
        <f aca="false">IF(C27&lt;&gt;0,H27/(C27/100),0)</f>
        <v>0</v>
      </c>
      <c r="J27" s="13"/>
    </row>
    <row r="28" customFormat="false" ht="17.25" hidden="false" customHeight="true" outlineLevel="0" collapsed="false">
      <c r="B28" s="18" t="s">
        <v>16</v>
      </c>
      <c r="C28" s="24"/>
      <c r="D28" s="25"/>
      <c r="E28" s="26"/>
      <c r="F28" s="26"/>
      <c r="G28" s="26"/>
      <c r="H28" s="27" t="n">
        <f aca="false">SUM(E28:G28)</f>
        <v>0</v>
      </c>
      <c r="I28" s="28" t="n">
        <f aca="false">IF(C28&lt;&gt;0,H28/(C28/100),0)</f>
        <v>0</v>
      </c>
      <c r="J28" s="13"/>
    </row>
    <row r="29" customFormat="false" ht="17.25" hidden="false" customHeight="true" outlineLevel="0" collapsed="false">
      <c r="B29" s="18" t="s">
        <v>17</v>
      </c>
      <c r="C29" s="24"/>
      <c r="D29" s="25"/>
      <c r="E29" s="26"/>
      <c r="F29" s="26"/>
      <c r="G29" s="26"/>
      <c r="H29" s="27" t="n">
        <f aca="false">SUM(E29:G29)</f>
        <v>0</v>
      </c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24"/>
      <c r="D30" s="25"/>
      <c r="E30" s="26"/>
      <c r="F30" s="26"/>
      <c r="G30" s="26"/>
      <c r="H30" s="27" t="n">
        <f aca="false">SUM(E30:G30)</f>
        <v>0</v>
      </c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20"/>
      <c r="D31" s="29"/>
      <c r="E31" s="30"/>
      <c r="F31" s="41"/>
      <c r="G31" s="30"/>
      <c r="H31" s="31" t="n">
        <f aca="false">SUM(E31:G31)</f>
        <v>0</v>
      </c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0</v>
      </c>
      <c r="D32" s="20" t="n">
        <f aca="false">SUM(D27:D31)</f>
        <v>0</v>
      </c>
      <c r="E32" s="21" t="n">
        <f aca="false">SUM(E27:E31)</f>
        <v>0</v>
      </c>
      <c r="F32" s="21" t="n">
        <f aca="false">SUM(F27:F31)</f>
        <v>0</v>
      </c>
      <c r="G32" s="21" t="n">
        <f aca="false">SUM(G27:G31)</f>
        <v>0</v>
      </c>
      <c r="H32" s="22" t="n">
        <f aca="false">SUM(H27:H31)</f>
        <v>0</v>
      </c>
      <c r="I32" s="23" t="n">
        <f aca="false">IF(C32&lt;&gt;0,H32/(C32/100),0)</f>
        <v>0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 t="s">
        <v>34</v>
      </c>
      <c r="C34" s="2"/>
      <c r="D34" s="2"/>
      <c r="E34" s="5" t="s">
        <v>24</v>
      </c>
      <c r="F34" s="6" t="s">
        <v>25</v>
      </c>
      <c r="G34" s="4"/>
      <c r="H34" s="5" t="s">
        <v>3</v>
      </c>
      <c r="I34" s="6" t="s">
        <v>4</v>
      </c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 t="s">
        <v>5</v>
      </c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 t="s">
        <v>6</v>
      </c>
      <c r="C37" s="9" t="s">
        <v>7</v>
      </c>
      <c r="D37" s="9"/>
      <c r="E37" s="12"/>
      <c r="F37" s="12"/>
      <c r="G37" s="12"/>
      <c r="H37" s="11" t="s">
        <v>27</v>
      </c>
      <c r="I37" s="11"/>
    </row>
    <row r="38" customFormat="false" ht="17.25" hidden="false" customHeight="true" outlineLevel="0" collapsed="false">
      <c r="B38" s="14"/>
      <c r="C38" s="14" t="s">
        <v>28</v>
      </c>
      <c r="D38" s="34" t="s">
        <v>29</v>
      </c>
      <c r="E38" s="35" t="s">
        <v>30</v>
      </c>
      <c r="F38" s="36" t="s">
        <v>31</v>
      </c>
      <c r="G38" s="36"/>
      <c r="H38" s="17" t="s">
        <v>32</v>
      </c>
      <c r="I38" s="17"/>
    </row>
    <row r="39" customFormat="false" ht="17.25" hidden="false" customHeight="true" outlineLevel="0" collapsed="false">
      <c r="B39" s="18" t="s">
        <v>35</v>
      </c>
      <c r="C39" s="42" t="n">
        <f aca="false">30+80+13+2+27</f>
        <v>152</v>
      </c>
      <c r="D39" s="43" t="n">
        <f aca="false">5+35+3+2+3</f>
        <v>48</v>
      </c>
      <c r="E39" s="44" t="n">
        <f aca="false">20+43+9+0+24</f>
        <v>96</v>
      </c>
      <c r="F39" s="45" t="n">
        <f aca="false">6+1</f>
        <v>7</v>
      </c>
      <c r="G39" s="45"/>
      <c r="H39" s="40" t="n">
        <f aca="false">IF(C39&lt;&gt;0,F39/(C39/100),0)</f>
        <v>4.60526315789474</v>
      </c>
      <c r="I39" s="40"/>
    </row>
    <row r="40" customFormat="false" ht="15.75" hidden="false" customHeight="true" outlineLevel="0" collapsed="false"/>
    <row r="41" customFormat="false" ht="21.85" hidden="false" customHeight="true" outlineLevel="0" collapsed="false">
      <c r="B41" s="3" t="s">
        <v>36</v>
      </c>
    </row>
    <row r="42" customFormat="false" ht="15.75" hidden="false" customHeight="true" outlineLevel="0" collapsed="false"/>
    <row r="43" customFormat="false" ht="15.75" hidden="false" customHeight="true" outlineLevel="0" collapsed="false">
      <c r="B43" s="55" t="s">
        <v>37</v>
      </c>
      <c r="C43" s="55"/>
      <c r="D43" s="56" t="s">
        <v>28</v>
      </c>
    </row>
    <row r="44" customFormat="false" ht="15.75" hidden="false" customHeight="true" outlineLevel="0" collapsed="false">
      <c r="B44" s="57" t="s">
        <v>38</v>
      </c>
      <c r="C44" s="58"/>
      <c r="D44" s="59" t="n">
        <v>23</v>
      </c>
    </row>
    <row r="45" customFormat="false" ht="15.75" hidden="false" customHeight="true" outlineLevel="0" collapsed="false">
      <c r="B45" s="60" t="s">
        <v>39</v>
      </c>
      <c r="C45" s="61"/>
      <c r="D45" s="62" t="n">
        <v>33</v>
      </c>
    </row>
    <row r="46" customFormat="false" ht="15.75" hidden="false" customHeight="true" outlineLevel="0" collapsed="false">
      <c r="B46" s="60" t="s">
        <v>40</v>
      </c>
      <c r="C46" s="63"/>
      <c r="D46" s="62" t="n">
        <v>33</v>
      </c>
    </row>
    <row r="47" customFormat="false" ht="15.75" hidden="false" customHeight="true" outlineLevel="0" collapsed="false">
      <c r="B47" s="60" t="s">
        <v>41</v>
      </c>
      <c r="C47" s="63"/>
      <c r="D47" s="62" t="n">
        <v>32</v>
      </c>
    </row>
    <row r="48" customFormat="false" ht="15.75" hidden="false" customHeight="true" outlineLevel="0" collapsed="false">
      <c r="B48" s="64" t="s">
        <v>42</v>
      </c>
      <c r="C48" s="65"/>
      <c r="D48" s="66" t="n">
        <f aca="false">29+21</f>
        <v>50</v>
      </c>
    </row>
    <row r="49" customFormat="false" ht="15.75" hidden="false" customHeight="true" outlineLevel="0" collapsed="false">
      <c r="B49" s="64" t="s">
        <v>43</v>
      </c>
      <c r="C49" s="65"/>
      <c r="D49" s="66" t="n">
        <v>27</v>
      </c>
    </row>
    <row r="50" customFormat="false" ht="15.75" hidden="false" customHeight="true" outlineLevel="0" collapsed="false">
      <c r="B50" s="67"/>
      <c r="C50" s="68"/>
      <c r="D50" s="69"/>
    </row>
    <row r="51" customFormat="false" ht="12.75" hidden="false" customHeight="false" outlineLevel="0" collapsed="false">
      <c r="B51" s="70" t="s">
        <v>20</v>
      </c>
      <c r="C51" s="71"/>
      <c r="D51" s="72" t="n">
        <f aca="false">SUM(D44:D50)</f>
        <v>198</v>
      </c>
    </row>
    <row r="54" customFormat="false" ht="23.25" hidden="false" customHeight="true" outlineLevel="0" collapsed="false">
      <c r="B54" s="46" t="s">
        <v>22</v>
      </c>
    </row>
    <row r="55" customFormat="false" ht="15.75" hidden="false" customHeight="true" outlineLevel="0" collapsed="false"/>
    <row r="56" customFormat="false" ht="24" hidden="false" customHeight="true" outlineLevel="0" collapsed="false">
      <c r="B56" s="47" t="s">
        <v>44</v>
      </c>
      <c r="C56" s="48"/>
      <c r="D56" s="48"/>
      <c r="E56" s="48"/>
      <c r="F56" s="48"/>
      <c r="G56" s="49"/>
      <c r="H56" s="50" t="n">
        <f aca="false">C12+C32</f>
        <v>531</v>
      </c>
    </row>
    <row r="57" customFormat="false" ht="24" hidden="false" customHeight="true" outlineLevel="0" collapsed="false">
      <c r="B57" s="51" t="s">
        <v>45</v>
      </c>
      <c r="C57" s="52"/>
      <c r="D57" s="52"/>
      <c r="E57" s="52"/>
      <c r="F57" s="52"/>
      <c r="G57" s="53"/>
      <c r="H57" s="54" t="n">
        <f aca="false">C19+C39</f>
        <v>278</v>
      </c>
    </row>
    <row r="58" customFormat="false" ht="15.75" hidden="false" customHeight="true" outlineLevel="0" collapsed="false"/>
  </sheetData>
  <mergeCells count="15">
    <mergeCell ref="D4:I4"/>
    <mergeCell ref="D16:I16"/>
    <mergeCell ref="H17:I17"/>
    <mergeCell ref="F18:G18"/>
    <mergeCell ref="H18:I18"/>
    <mergeCell ref="F19:G19"/>
    <mergeCell ref="H19:I19"/>
    <mergeCell ref="D24:I24"/>
    <mergeCell ref="D36:I36"/>
    <mergeCell ref="H37:I37"/>
    <mergeCell ref="F38:G38"/>
    <mergeCell ref="H38:I38"/>
    <mergeCell ref="F39:G39"/>
    <mergeCell ref="H39:I39"/>
    <mergeCell ref="B43:C43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58"/>
  <sheetViews>
    <sheetView showFormulas="false" showGridLines="true" showRowColHeaders="true" showZeros="true" rightToLeft="false" tabSelected="fals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 t="s">
        <v>24</v>
      </c>
      <c r="F2" s="6" t="s">
        <v>46</v>
      </c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f aca="false">5+9+9+24+8+7</f>
        <v>62</v>
      </c>
      <c r="D7" s="20" t="n">
        <f aca="false">3+8+6+6+6+1</f>
        <v>30</v>
      </c>
      <c r="E7" s="21" t="n">
        <f aca="false">1+0+2+9+1+4</f>
        <v>17</v>
      </c>
      <c r="F7" s="21" t="n">
        <f aca="false">1+0+1+7+1+2</f>
        <v>12</v>
      </c>
      <c r="G7" s="21" t="n">
        <f aca="false">0+1+0+2+0+0</f>
        <v>3</v>
      </c>
      <c r="H7" s="22" t="n">
        <f aca="false">0+0+0+2+0+0</f>
        <v>2</v>
      </c>
      <c r="I7" s="23" t="n">
        <f aca="false">IF(C7&lt;&gt;0,H7/(C7/100),0)</f>
        <v>3.2258064516129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24" t="n">
        <f aca="false">4+15+13+32+20+20+25+21+26+24+10</f>
        <v>210</v>
      </c>
      <c r="D8" s="25" t="n">
        <f aca="false">3+3+1+8+1+7+5+3+10+8+6</f>
        <v>55</v>
      </c>
      <c r="E8" s="26" t="n">
        <f aca="false">0+3+3+4+1+6+2+6+11+3+2</f>
        <v>41</v>
      </c>
      <c r="F8" s="26" t="n">
        <f aca="false">1+7+8+10+9+5+5+12+3+10+0</f>
        <v>70</v>
      </c>
      <c r="G8" s="26" t="n">
        <f aca="false">0+2+1+10+9+2+13+0+2+3+2</f>
        <v>44</v>
      </c>
      <c r="H8" s="27" t="n">
        <f aca="false">0+1+1+8+9+2+13+0+2+3+1</f>
        <v>40</v>
      </c>
      <c r="I8" s="28" t="n">
        <f aca="false">IF(C8&lt;&gt;0,H8/(C8/100),0)</f>
        <v>19.047619047619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24" t="n">
        <f aca="false">5+6+6+23+16+18+16+17+6+11</f>
        <v>124</v>
      </c>
      <c r="D9" s="25" t="n">
        <f aca="false">0+1+1+0+4+3+2+0+1+0</f>
        <v>12</v>
      </c>
      <c r="E9" s="26" t="n">
        <f aca="false">1+0+3+4+1+1+1+1+1+2</f>
        <v>15</v>
      </c>
      <c r="F9" s="26" t="n">
        <f aca="false">2+2+1+4+1+6+5+3+3+2</f>
        <v>29</v>
      </c>
      <c r="G9" s="26" t="n">
        <f aca="false">2+3+1+19+10+8+8+13+1+7</f>
        <v>72</v>
      </c>
      <c r="H9" s="27" t="n">
        <f aca="false">2+2+1+18+10+8+8+13+1+7</f>
        <v>70</v>
      </c>
      <c r="I9" s="28" t="n">
        <f aca="false">IF(C9&lt;&gt;0,H9/(C9/100),0)</f>
        <v>56.4516129032258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24" t="n">
        <f aca="false">10+8+8+17+17+10+17+11+12</f>
        <v>110</v>
      </c>
      <c r="D10" s="25" t="n">
        <f aca="false">0+0+1+1+1+10+1+0+0</f>
        <v>14</v>
      </c>
      <c r="E10" s="26" t="n">
        <f aca="false">0+0+0+1+0+0+1+1+0</f>
        <v>3</v>
      </c>
      <c r="F10" s="26" t="n">
        <f aca="false">0+2+1+6+3+0+4+2+2</f>
        <v>20</v>
      </c>
      <c r="G10" s="26" t="n">
        <f aca="false">10+6+6+9+13+0+11+8+10</f>
        <v>73</v>
      </c>
      <c r="H10" s="27" t="n">
        <f aca="false">10+6+5+9+13+0+10+8+9</f>
        <v>70</v>
      </c>
      <c r="I10" s="28" t="n">
        <f aca="false">IF(C10&lt;&gt;0,H10/(C10/100),0)</f>
        <v>63.6363636363636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20" t="n">
        <f aca="false">2+9+12+7</f>
        <v>30</v>
      </c>
      <c r="D11" s="29" t="n">
        <f aca="false">0+1+0+0</f>
        <v>1</v>
      </c>
      <c r="E11" s="30" t="n">
        <f aca="false">0+0+0+0</f>
        <v>0</v>
      </c>
      <c r="F11" s="30" t="n">
        <f aca="false">0+1+1+0</f>
        <v>2</v>
      </c>
      <c r="G11" s="30" t="n">
        <f aca="false">2+7+11+7</f>
        <v>27</v>
      </c>
      <c r="H11" s="31" t="n">
        <f aca="false">2+7+10+7</f>
        <v>26</v>
      </c>
      <c r="I11" s="32" t="n">
        <f aca="false">IF(C11&lt;&gt;0,H11/(C11/100),0)</f>
        <v>86.6666666666667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536</v>
      </c>
      <c r="D12" s="20" t="n">
        <f aca="false">SUM(D7:D11)</f>
        <v>112</v>
      </c>
      <c r="E12" s="21" t="n">
        <f aca="false">SUM(E7:E11)</f>
        <v>76</v>
      </c>
      <c r="F12" s="21" t="n">
        <f aca="false">SUM(F7:F11)</f>
        <v>133</v>
      </c>
      <c r="G12" s="21" t="n">
        <f aca="false">SUM(G7:G11)</f>
        <v>219</v>
      </c>
      <c r="H12" s="22" t="n">
        <f aca="false">SUM(H7:H11)</f>
        <v>208</v>
      </c>
      <c r="I12" s="23" t="n">
        <f aca="false">IF(C12&lt;&gt;0,H12/(C12/100),0)</f>
        <v>38.8059701492537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 t="s">
        <v>26</v>
      </c>
      <c r="C14" s="2"/>
      <c r="D14" s="2"/>
      <c r="E14" s="5" t="s">
        <v>24</v>
      </c>
      <c r="F14" s="6" t="s">
        <v>46</v>
      </c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 t="s">
        <v>5</v>
      </c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 t="s">
        <v>6</v>
      </c>
      <c r="C17" s="9" t="s">
        <v>7</v>
      </c>
      <c r="D17" s="9"/>
      <c r="E17" s="12"/>
      <c r="F17" s="12"/>
      <c r="G17" s="12"/>
      <c r="H17" s="9" t="s">
        <v>27</v>
      </c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 t="s">
        <v>28</v>
      </c>
      <c r="D18" s="34" t="s">
        <v>29</v>
      </c>
      <c r="E18" s="35" t="s">
        <v>30</v>
      </c>
      <c r="F18" s="36" t="s">
        <v>31</v>
      </c>
      <c r="G18" s="36"/>
      <c r="H18" s="14" t="s">
        <v>32</v>
      </c>
      <c r="I18" s="14"/>
      <c r="J18" s="13"/>
      <c r="K18" s="2"/>
    </row>
    <row r="19" customFormat="false" ht="18.95" hidden="false" customHeight="true" outlineLevel="0" collapsed="false">
      <c r="A19" s="2"/>
      <c r="B19" s="9" t="s">
        <v>33</v>
      </c>
      <c r="C19" s="19" t="n">
        <v>94</v>
      </c>
      <c r="D19" s="37" t="n">
        <v>28</v>
      </c>
      <c r="E19" s="38" t="n">
        <v>53</v>
      </c>
      <c r="F19" s="39" t="n">
        <v>13</v>
      </c>
      <c r="G19" s="39"/>
      <c r="H19" s="40" t="n">
        <f aca="false">IF(C19&lt;&gt;0,F19/(C19/100),0)</f>
        <v>13.8297872340426</v>
      </c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/>
      <c r="F22" s="6"/>
      <c r="G22" s="4"/>
      <c r="H22" s="5" t="s">
        <v>3</v>
      </c>
      <c r="I22" s="6"/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/>
      <c r="D27" s="20"/>
      <c r="E27" s="21"/>
      <c r="F27" s="21"/>
      <c r="G27" s="21"/>
      <c r="H27" s="22" t="n">
        <f aca="false">SUM(E27:G27)</f>
        <v>0</v>
      </c>
      <c r="I27" s="23" t="n">
        <f aca="false">IF(C27&lt;&gt;0,H27/(C27/100),0)</f>
        <v>0</v>
      </c>
      <c r="J27" s="13"/>
    </row>
    <row r="28" customFormat="false" ht="17.25" hidden="false" customHeight="true" outlineLevel="0" collapsed="false">
      <c r="B28" s="18" t="s">
        <v>16</v>
      </c>
      <c r="C28" s="24"/>
      <c r="D28" s="25"/>
      <c r="E28" s="26"/>
      <c r="F28" s="26"/>
      <c r="G28" s="26"/>
      <c r="H28" s="27" t="n">
        <f aca="false">SUM(E28:G28)</f>
        <v>0</v>
      </c>
      <c r="I28" s="28" t="n">
        <f aca="false">IF(C28&lt;&gt;0,H28/(C28/100),0)</f>
        <v>0</v>
      </c>
      <c r="J28" s="13"/>
    </row>
    <row r="29" customFormat="false" ht="17.25" hidden="false" customHeight="true" outlineLevel="0" collapsed="false">
      <c r="B29" s="18" t="s">
        <v>17</v>
      </c>
      <c r="C29" s="24"/>
      <c r="D29" s="25"/>
      <c r="E29" s="26"/>
      <c r="F29" s="26"/>
      <c r="G29" s="26"/>
      <c r="H29" s="27" t="n">
        <f aca="false">SUM(E29:G29)</f>
        <v>0</v>
      </c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24"/>
      <c r="D30" s="25"/>
      <c r="E30" s="26"/>
      <c r="F30" s="26"/>
      <c r="G30" s="26"/>
      <c r="H30" s="27" t="n">
        <f aca="false">SUM(E30:G30)</f>
        <v>0</v>
      </c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20"/>
      <c r="D31" s="29"/>
      <c r="E31" s="30"/>
      <c r="F31" s="41"/>
      <c r="G31" s="30"/>
      <c r="H31" s="31" t="n">
        <f aca="false">SUM(E31:G31)</f>
        <v>0</v>
      </c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0</v>
      </c>
      <c r="D32" s="20" t="n">
        <f aca="false">SUM(D27:D31)</f>
        <v>0</v>
      </c>
      <c r="E32" s="21" t="n">
        <f aca="false">SUM(E27:E31)</f>
        <v>0</v>
      </c>
      <c r="F32" s="21" t="n">
        <f aca="false">SUM(F27:F31)</f>
        <v>0</v>
      </c>
      <c r="G32" s="21" t="n">
        <f aca="false">SUM(G27:G31)</f>
        <v>0</v>
      </c>
      <c r="H32" s="22" t="n">
        <f aca="false">SUM(H27:H31)</f>
        <v>0</v>
      </c>
      <c r="I32" s="23" t="n">
        <f aca="false">IF(C32&lt;&gt;0,H32/(C32/100),0)</f>
        <v>0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 t="s">
        <v>34</v>
      </c>
      <c r="C34" s="2"/>
      <c r="D34" s="2"/>
      <c r="E34" s="5" t="s">
        <v>24</v>
      </c>
      <c r="F34" s="6" t="s">
        <v>46</v>
      </c>
      <c r="G34" s="4"/>
      <c r="H34" s="5" t="s">
        <v>3</v>
      </c>
      <c r="I34" s="6" t="s">
        <v>4</v>
      </c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 t="s">
        <v>5</v>
      </c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 t="s">
        <v>6</v>
      </c>
      <c r="C37" s="9" t="s">
        <v>7</v>
      </c>
      <c r="D37" s="9"/>
      <c r="E37" s="12"/>
      <c r="F37" s="12"/>
      <c r="G37" s="12"/>
      <c r="H37" s="11" t="s">
        <v>27</v>
      </c>
      <c r="I37" s="11"/>
    </row>
    <row r="38" customFormat="false" ht="17.25" hidden="false" customHeight="true" outlineLevel="0" collapsed="false">
      <c r="B38" s="14"/>
      <c r="C38" s="14" t="s">
        <v>28</v>
      </c>
      <c r="D38" s="34" t="s">
        <v>29</v>
      </c>
      <c r="E38" s="35" t="s">
        <v>30</v>
      </c>
      <c r="F38" s="36" t="s">
        <v>31</v>
      </c>
      <c r="G38" s="36"/>
      <c r="H38" s="17" t="s">
        <v>32</v>
      </c>
      <c r="I38" s="17"/>
    </row>
    <row r="39" customFormat="false" ht="17.25" hidden="false" customHeight="true" outlineLevel="0" collapsed="false">
      <c r="B39" s="18" t="s">
        <v>35</v>
      </c>
      <c r="C39" s="42" t="n">
        <f aca="false">30+64+14+22</f>
        <v>130</v>
      </c>
      <c r="D39" s="43" t="n">
        <f aca="false">3+22+1+2</f>
        <v>28</v>
      </c>
      <c r="E39" s="44" t="n">
        <f aca="false">20+25+11+13</f>
        <v>69</v>
      </c>
      <c r="F39" s="45" t="n">
        <f aca="false">7+17+2+7</f>
        <v>33</v>
      </c>
      <c r="G39" s="45"/>
      <c r="H39" s="40" t="n">
        <f aca="false">IF(C39&lt;&gt;0,F39/(C39/100),0)</f>
        <v>25.3846153846154</v>
      </c>
      <c r="I39" s="40"/>
    </row>
    <row r="40" customFormat="false" ht="15.75" hidden="false" customHeight="true" outlineLevel="0" collapsed="false"/>
    <row r="41" customFormat="false" ht="21.85" hidden="false" customHeight="true" outlineLevel="0" collapsed="false">
      <c r="B41" s="3" t="s">
        <v>36</v>
      </c>
    </row>
    <row r="42" customFormat="false" ht="15.75" hidden="false" customHeight="true" outlineLevel="0" collapsed="false"/>
    <row r="43" customFormat="false" ht="15.75" hidden="false" customHeight="true" outlineLevel="0" collapsed="false">
      <c r="B43" s="55" t="s">
        <v>37</v>
      </c>
      <c r="C43" s="55"/>
      <c r="D43" s="56" t="s">
        <v>28</v>
      </c>
    </row>
    <row r="44" customFormat="false" ht="15.75" hidden="false" customHeight="true" outlineLevel="0" collapsed="false">
      <c r="B44" s="57" t="s">
        <v>38</v>
      </c>
      <c r="C44" s="58"/>
      <c r="D44" s="59" t="n">
        <v>17</v>
      </c>
    </row>
    <row r="45" customFormat="false" ht="15.75" hidden="false" customHeight="true" outlineLevel="0" collapsed="false">
      <c r="B45" s="60" t="s">
        <v>39</v>
      </c>
      <c r="C45" s="61"/>
      <c r="D45" s="62" t="n">
        <v>29</v>
      </c>
    </row>
    <row r="46" customFormat="false" ht="15.75" hidden="false" customHeight="true" outlineLevel="0" collapsed="false">
      <c r="B46" s="60" t="s">
        <v>40</v>
      </c>
      <c r="C46" s="63"/>
      <c r="D46" s="62" t="n">
        <v>40</v>
      </c>
    </row>
    <row r="47" customFormat="false" ht="15.75" hidden="false" customHeight="true" outlineLevel="0" collapsed="false">
      <c r="B47" s="60" t="s">
        <v>41</v>
      </c>
      <c r="C47" s="63"/>
      <c r="D47" s="62" t="n">
        <v>26</v>
      </c>
    </row>
    <row r="48" customFormat="false" ht="15.75" hidden="false" customHeight="true" outlineLevel="0" collapsed="false">
      <c r="B48" s="64" t="s">
        <v>42</v>
      </c>
      <c r="C48" s="65"/>
      <c r="D48" s="66" t="n">
        <f aca="false">16</f>
        <v>16</v>
      </c>
    </row>
    <row r="49" customFormat="false" ht="15.75" hidden="false" customHeight="true" outlineLevel="0" collapsed="false">
      <c r="B49" s="64" t="s">
        <v>43</v>
      </c>
      <c r="C49" s="65"/>
      <c r="D49" s="66" t="n">
        <v>25</v>
      </c>
    </row>
    <row r="50" customFormat="false" ht="15.75" hidden="false" customHeight="true" outlineLevel="0" collapsed="false">
      <c r="B50" s="67"/>
      <c r="C50" s="68"/>
      <c r="D50" s="69"/>
    </row>
    <row r="51" customFormat="false" ht="15.75" hidden="false" customHeight="true" outlineLevel="0" collapsed="false">
      <c r="B51" s="70" t="s">
        <v>20</v>
      </c>
      <c r="C51" s="71"/>
      <c r="D51" s="72" t="n">
        <f aca="false">SUM(D44:D50)</f>
        <v>153</v>
      </c>
    </row>
    <row r="54" customFormat="false" ht="23.25" hidden="false" customHeight="true" outlineLevel="0" collapsed="false">
      <c r="B54" s="46" t="s">
        <v>22</v>
      </c>
    </row>
    <row r="55" customFormat="false" ht="15.75" hidden="false" customHeight="true" outlineLevel="0" collapsed="false"/>
    <row r="56" customFormat="false" ht="24" hidden="false" customHeight="true" outlineLevel="0" collapsed="false">
      <c r="B56" s="47" t="s">
        <v>47</v>
      </c>
      <c r="C56" s="48"/>
      <c r="D56" s="48"/>
      <c r="E56" s="48"/>
      <c r="F56" s="48"/>
      <c r="G56" s="49"/>
      <c r="H56" s="50" t="n">
        <f aca="false">C12+C32</f>
        <v>536</v>
      </c>
    </row>
    <row r="57" customFormat="false" ht="24" hidden="false" customHeight="true" outlineLevel="0" collapsed="false">
      <c r="B57" s="51" t="s">
        <v>48</v>
      </c>
      <c r="C57" s="52"/>
      <c r="D57" s="52"/>
      <c r="E57" s="52"/>
      <c r="F57" s="52"/>
      <c r="G57" s="53"/>
      <c r="H57" s="54" t="n">
        <f aca="false">C19+C39</f>
        <v>224</v>
      </c>
    </row>
    <row r="58" customFormat="false" ht="15.75" hidden="false" customHeight="true" outlineLevel="0" collapsed="false"/>
  </sheetData>
  <mergeCells count="15">
    <mergeCell ref="D4:I4"/>
    <mergeCell ref="D16:I16"/>
    <mergeCell ref="H17:I17"/>
    <mergeCell ref="F18:G18"/>
    <mergeCell ref="H18:I18"/>
    <mergeCell ref="F19:G19"/>
    <mergeCell ref="H19:I19"/>
    <mergeCell ref="D24:I24"/>
    <mergeCell ref="D36:I36"/>
    <mergeCell ref="H37:I37"/>
    <mergeCell ref="F38:G38"/>
    <mergeCell ref="H38:I38"/>
    <mergeCell ref="F39:G39"/>
    <mergeCell ref="H39:I39"/>
    <mergeCell ref="B43:C43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58"/>
  <sheetViews>
    <sheetView showFormulas="false" showGridLines="true" showRowColHeaders="true" showZeros="true" rightToLeft="false" tabSelected="fals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 t="s">
        <v>24</v>
      </c>
      <c r="F2" s="6" t="s">
        <v>49</v>
      </c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f aca="false">13+4+2+12+7+24+23</f>
        <v>85</v>
      </c>
      <c r="D7" s="20" t="n">
        <f aca="false">2+1+0+6+1+8+7</f>
        <v>25</v>
      </c>
      <c r="E7" s="21" t="n">
        <f aca="false">7+0+1+5+5+6+9</f>
        <v>33</v>
      </c>
      <c r="F7" s="21" t="n">
        <f aca="false">1+2+1+1+0+10+5</f>
        <v>20</v>
      </c>
      <c r="G7" s="21" t="n">
        <f aca="false">3+1+0+0+1+0+2</f>
        <v>7</v>
      </c>
      <c r="H7" s="22" t="n">
        <f aca="false">2+1+0+0+1+0+1</f>
        <v>5</v>
      </c>
      <c r="I7" s="23" t="n">
        <f aca="false">IF(C7&lt;&gt;0,H7/(C7/100),0)</f>
        <v>5.88235294117647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24" t="n">
        <f aca="false">10+10+7+14+16+17+10+16+17+15+23+21</f>
        <v>176</v>
      </c>
      <c r="D8" s="25" t="n">
        <f aca="false">0+0+0+6+3+2+2+2+0+3+14+4</f>
        <v>36</v>
      </c>
      <c r="E8" s="26" t="n">
        <f aca="false">3+5+2+4+3+0+3+4+4+4+3+3</f>
        <v>38</v>
      </c>
      <c r="F8" s="26" t="n">
        <f aca="false">3+2+1+2+6+9+2+4+7+4+3+13</f>
        <v>56</v>
      </c>
      <c r="G8" s="26" t="n">
        <f aca="false">4+3+4+2+4+6+3+6+6+4+3+1</f>
        <v>46</v>
      </c>
      <c r="H8" s="27" t="n">
        <f aca="false">3+2+3+2+4+5+3+5+6+4+1+1</f>
        <v>39</v>
      </c>
      <c r="I8" s="28" t="n">
        <f aca="false">IF(C8&lt;&gt;0,H8/(C8/100),0)</f>
        <v>22.1590909090909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24" t="n">
        <f aca="false">12+10+9+22+8+8+26+14+23+23</f>
        <v>155</v>
      </c>
      <c r="D9" s="25" t="n">
        <f aca="false">2+0+5+0+0+4+4+8+0+5</f>
        <v>28</v>
      </c>
      <c r="E9" s="26" t="n">
        <f aca="false">1+0+0+0+0+1+3+5+0+1</f>
        <v>11</v>
      </c>
      <c r="F9" s="26" t="n">
        <f aca="false">2+4+2+9+3+1+6+1+12+9</f>
        <v>49</v>
      </c>
      <c r="G9" s="26" t="n">
        <f aca="false">7+6+2+13+5+2+13+0+11+8</f>
        <v>67</v>
      </c>
      <c r="H9" s="27" t="n">
        <f aca="false">5+6+2+11+5+2+11+0+10+8</f>
        <v>60</v>
      </c>
      <c r="I9" s="28" t="n">
        <f aca="false">IF(C9&lt;&gt;0,H9/(C9/100),0)</f>
        <v>38.7096774193548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24" t="n">
        <f aca="false">14+9+4+25+7+5+6+22+20</f>
        <v>112</v>
      </c>
      <c r="D10" s="25" t="n">
        <f aca="false">2+0+0+9+0+1+4+2+0</f>
        <v>18</v>
      </c>
      <c r="E10" s="26" t="n">
        <f aca="false">0+0+0+4+1+0+0+1+0</f>
        <v>6</v>
      </c>
      <c r="F10" s="26" t="n">
        <f aca="false">3+1+0+4+3+2+0+3+3</f>
        <v>19</v>
      </c>
      <c r="G10" s="26" t="n">
        <f aca="false">9+8+4+8+3+2+2+15+17</f>
        <v>68</v>
      </c>
      <c r="H10" s="27" t="n">
        <f aca="false">7+7+4+8+3+2+2+14+16</f>
        <v>63</v>
      </c>
      <c r="I10" s="28" t="n">
        <f aca="false">IF(C10&lt;&gt;0,H10/(C10/100),0)</f>
        <v>56.25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20" t="n">
        <f aca="false">16+2</f>
        <v>18</v>
      </c>
      <c r="D11" s="29" t="n">
        <f aca="false">0+0</f>
        <v>0</v>
      </c>
      <c r="E11" s="30" t="n">
        <f aca="false">0+0</f>
        <v>0</v>
      </c>
      <c r="F11" s="30" t="n">
        <f aca="false">1+0</f>
        <v>1</v>
      </c>
      <c r="G11" s="30" t="n">
        <f aca="false">15+2</f>
        <v>17</v>
      </c>
      <c r="H11" s="31" t="n">
        <f aca="false">14+2</f>
        <v>16</v>
      </c>
      <c r="I11" s="32" t="n">
        <f aca="false">IF(C11&lt;&gt;0,H11/(C11/100),0)</f>
        <v>88.8888888888889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546</v>
      </c>
      <c r="D12" s="20" t="n">
        <f aca="false">SUM(D7:D11)</f>
        <v>107</v>
      </c>
      <c r="E12" s="21" t="n">
        <f aca="false">SUM(E7:E11)</f>
        <v>88</v>
      </c>
      <c r="F12" s="21" t="n">
        <f aca="false">SUM(F7:F11)</f>
        <v>145</v>
      </c>
      <c r="G12" s="21" t="n">
        <f aca="false">SUM(G7:G11)</f>
        <v>205</v>
      </c>
      <c r="H12" s="22" t="n">
        <f aca="false">SUM(H7:H11)</f>
        <v>183</v>
      </c>
      <c r="I12" s="23" t="n">
        <f aca="false">IF(C12&lt;&gt;0,H12/(C12/100),0)</f>
        <v>33.5164835164835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 t="s">
        <v>26</v>
      </c>
      <c r="C14" s="2"/>
      <c r="D14" s="2"/>
      <c r="E14" s="5" t="s">
        <v>24</v>
      </c>
      <c r="F14" s="6" t="s">
        <v>49</v>
      </c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 t="s">
        <v>5</v>
      </c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 t="s">
        <v>6</v>
      </c>
      <c r="C17" s="9" t="s">
        <v>7</v>
      </c>
      <c r="D17" s="9"/>
      <c r="E17" s="12"/>
      <c r="F17" s="12"/>
      <c r="G17" s="12"/>
      <c r="H17" s="9" t="s">
        <v>27</v>
      </c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 t="s">
        <v>28</v>
      </c>
      <c r="D18" s="34" t="s">
        <v>29</v>
      </c>
      <c r="E18" s="35" t="s">
        <v>30</v>
      </c>
      <c r="F18" s="36" t="s">
        <v>31</v>
      </c>
      <c r="G18" s="36"/>
      <c r="H18" s="14" t="s">
        <v>32</v>
      </c>
      <c r="I18" s="14"/>
      <c r="J18" s="13"/>
      <c r="K18" s="2"/>
    </row>
    <row r="19" customFormat="false" ht="18.95" hidden="false" customHeight="true" outlineLevel="0" collapsed="false">
      <c r="A19" s="2"/>
      <c r="B19" s="9" t="s">
        <v>33</v>
      </c>
      <c r="C19" s="73"/>
      <c r="D19" s="37"/>
      <c r="E19" s="38"/>
      <c r="F19" s="39"/>
      <c r="G19" s="39"/>
      <c r="H19" s="40" t="n">
        <f aca="false">IF(C19&lt;&gt;0,F19/(C19/100),0)</f>
        <v>0</v>
      </c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/>
      <c r="F22" s="6"/>
      <c r="G22" s="4"/>
      <c r="H22" s="5" t="s">
        <v>3</v>
      </c>
      <c r="I22" s="6"/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/>
      <c r="D27" s="20"/>
      <c r="E27" s="21"/>
      <c r="F27" s="21"/>
      <c r="G27" s="21"/>
      <c r="H27" s="22" t="n">
        <f aca="false">SUM(E27:G27)</f>
        <v>0</v>
      </c>
      <c r="I27" s="23" t="n">
        <f aca="false">IF(C27&lt;&gt;0,H27/(C27/100),0)</f>
        <v>0</v>
      </c>
      <c r="J27" s="13"/>
    </row>
    <row r="28" customFormat="false" ht="17.25" hidden="false" customHeight="true" outlineLevel="0" collapsed="false">
      <c r="B28" s="18" t="s">
        <v>16</v>
      </c>
      <c r="C28" s="24"/>
      <c r="D28" s="25"/>
      <c r="E28" s="26"/>
      <c r="F28" s="26"/>
      <c r="G28" s="26"/>
      <c r="H28" s="27" t="n">
        <f aca="false">SUM(E28:G28)</f>
        <v>0</v>
      </c>
      <c r="I28" s="28" t="n">
        <f aca="false">IF(C28&lt;&gt;0,H28/(C28/100),0)</f>
        <v>0</v>
      </c>
      <c r="J28" s="13"/>
    </row>
    <row r="29" customFormat="false" ht="17.25" hidden="false" customHeight="true" outlineLevel="0" collapsed="false">
      <c r="B29" s="18" t="s">
        <v>17</v>
      </c>
      <c r="C29" s="24"/>
      <c r="D29" s="25"/>
      <c r="E29" s="26"/>
      <c r="F29" s="26"/>
      <c r="G29" s="26"/>
      <c r="H29" s="27" t="n">
        <f aca="false">SUM(E29:G29)</f>
        <v>0</v>
      </c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24"/>
      <c r="D30" s="25"/>
      <c r="E30" s="26"/>
      <c r="F30" s="26"/>
      <c r="G30" s="26"/>
      <c r="H30" s="27" t="n">
        <f aca="false">SUM(E30:G30)</f>
        <v>0</v>
      </c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20"/>
      <c r="D31" s="29"/>
      <c r="E31" s="30"/>
      <c r="F31" s="41"/>
      <c r="G31" s="30"/>
      <c r="H31" s="31" t="n">
        <f aca="false">SUM(E31:G31)</f>
        <v>0</v>
      </c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0</v>
      </c>
      <c r="D32" s="20" t="n">
        <f aca="false">SUM(D27:D31)</f>
        <v>0</v>
      </c>
      <c r="E32" s="21" t="n">
        <f aca="false">SUM(E27:E31)</f>
        <v>0</v>
      </c>
      <c r="F32" s="21" t="n">
        <f aca="false">SUM(F27:F31)</f>
        <v>0</v>
      </c>
      <c r="G32" s="21" t="n">
        <f aca="false">SUM(G27:G31)</f>
        <v>0</v>
      </c>
      <c r="H32" s="22" t="n">
        <f aca="false">SUM(H27:H31)</f>
        <v>0</v>
      </c>
      <c r="I32" s="23" t="n">
        <f aca="false">IF(C32&lt;&gt;0,H32/(C32/100),0)</f>
        <v>0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 t="s">
        <v>34</v>
      </c>
      <c r="C34" s="2"/>
      <c r="D34" s="2"/>
      <c r="E34" s="5" t="s">
        <v>24</v>
      </c>
      <c r="F34" s="6" t="s">
        <v>49</v>
      </c>
      <c r="G34" s="4"/>
      <c r="H34" s="5" t="s">
        <v>3</v>
      </c>
      <c r="I34" s="6" t="s">
        <v>4</v>
      </c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 t="s">
        <v>5</v>
      </c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 t="s">
        <v>6</v>
      </c>
      <c r="C37" s="9" t="s">
        <v>7</v>
      </c>
      <c r="D37" s="9"/>
      <c r="E37" s="12"/>
      <c r="F37" s="12"/>
      <c r="G37" s="12"/>
      <c r="H37" s="11" t="s">
        <v>27</v>
      </c>
      <c r="I37" s="11"/>
    </row>
    <row r="38" customFormat="false" ht="17.25" hidden="false" customHeight="true" outlineLevel="0" collapsed="false">
      <c r="B38" s="14"/>
      <c r="C38" s="14" t="s">
        <v>28</v>
      </c>
      <c r="D38" s="34" t="s">
        <v>29</v>
      </c>
      <c r="E38" s="35" t="s">
        <v>30</v>
      </c>
      <c r="F38" s="36" t="s">
        <v>31</v>
      </c>
      <c r="G38" s="36"/>
      <c r="H38" s="17" t="s">
        <v>32</v>
      </c>
      <c r="I38" s="17"/>
    </row>
    <row r="39" customFormat="false" ht="17.25" hidden="false" customHeight="true" outlineLevel="0" collapsed="false">
      <c r="B39" s="18" t="s">
        <v>35</v>
      </c>
      <c r="C39" s="42" t="n">
        <v>138</v>
      </c>
      <c r="D39" s="43" t="n">
        <v>28</v>
      </c>
      <c r="E39" s="44" t="n">
        <v>55</v>
      </c>
      <c r="F39" s="45" t="n">
        <v>55</v>
      </c>
      <c r="G39" s="45"/>
      <c r="H39" s="40" t="n">
        <f aca="false">IF(C39&lt;&gt;0,F39/(C39/100),0)</f>
        <v>39.8550724637681</v>
      </c>
      <c r="I39" s="40"/>
    </row>
    <row r="40" customFormat="false" ht="15.75" hidden="false" customHeight="true" outlineLevel="0" collapsed="false"/>
    <row r="41" customFormat="false" ht="21.85" hidden="false" customHeight="true" outlineLevel="0" collapsed="false">
      <c r="B41" s="3" t="s">
        <v>36</v>
      </c>
    </row>
    <row r="42" customFormat="false" ht="15.75" hidden="false" customHeight="true" outlineLevel="0" collapsed="false"/>
    <row r="43" customFormat="false" ht="15.75" hidden="false" customHeight="true" outlineLevel="0" collapsed="false">
      <c r="B43" s="55" t="s">
        <v>37</v>
      </c>
      <c r="C43" s="55"/>
      <c r="D43" s="56" t="s">
        <v>28</v>
      </c>
    </row>
    <row r="44" customFormat="false" ht="15.75" hidden="false" customHeight="true" outlineLevel="0" collapsed="false">
      <c r="B44" s="57" t="s">
        <v>38</v>
      </c>
      <c r="C44" s="58"/>
      <c r="D44" s="59" t="n">
        <v>20</v>
      </c>
    </row>
    <row r="45" customFormat="false" ht="15.75" hidden="false" customHeight="true" outlineLevel="0" collapsed="false">
      <c r="B45" s="60" t="s">
        <v>39</v>
      </c>
      <c r="C45" s="61"/>
      <c r="D45" s="62" t="n">
        <v>37</v>
      </c>
    </row>
    <row r="46" customFormat="false" ht="15.75" hidden="false" customHeight="true" outlineLevel="0" collapsed="false">
      <c r="B46" s="60" t="s">
        <v>40</v>
      </c>
      <c r="C46" s="63"/>
      <c r="D46" s="62" t="n">
        <v>35</v>
      </c>
    </row>
    <row r="47" customFormat="false" ht="15.75" hidden="false" customHeight="true" outlineLevel="0" collapsed="false">
      <c r="B47" s="60" t="s">
        <v>41</v>
      </c>
      <c r="C47" s="63"/>
      <c r="D47" s="62" t="n">
        <v>27</v>
      </c>
    </row>
    <row r="48" customFormat="false" ht="15.75" hidden="false" customHeight="true" outlineLevel="0" collapsed="false">
      <c r="B48" s="64" t="s">
        <v>42</v>
      </c>
      <c r="C48" s="65"/>
      <c r="D48" s="66" t="n">
        <f aca="false">8+16</f>
        <v>24</v>
      </c>
    </row>
    <row r="49" customFormat="false" ht="15.75" hidden="false" customHeight="true" outlineLevel="0" collapsed="false">
      <c r="B49" s="64" t="s">
        <v>43</v>
      </c>
      <c r="C49" s="65"/>
      <c r="D49" s="66" t="n">
        <v>33</v>
      </c>
    </row>
    <row r="50" customFormat="false" ht="15.75" hidden="false" customHeight="true" outlineLevel="0" collapsed="false">
      <c r="B50" s="67"/>
      <c r="C50" s="68"/>
      <c r="D50" s="69"/>
    </row>
    <row r="51" customFormat="false" ht="12.75" hidden="false" customHeight="false" outlineLevel="0" collapsed="false">
      <c r="B51" s="70" t="s">
        <v>20</v>
      </c>
      <c r="C51" s="71"/>
      <c r="D51" s="72" t="n">
        <f aca="false">SUM(D44:D50)</f>
        <v>176</v>
      </c>
    </row>
    <row r="54" customFormat="false" ht="23.25" hidden="false" customHeight="true" outlineLevel="0" collapsed="false">
      <c r="B54" s="46" t="s">
        <v>22</v>
      </c>
    </row>
    <row r="55" customFormat="false" ht="15.75" hidden="false" customHeight="true" outlineLevel="0" collapsed="false"/>
    <row r="56" customFormat="false" ht="24" hidden="false" customHeight="true" outlineLevel="0" collapsed="false">
      <c r="B56" s="47" t="s">
        <v>50</v>
      </c>
      <c r="C56" s="48"/>
      <c r="D56" s="48"/>
      <c r="E56" s="48"/>
      <c r="F56" s="48"/>
      <c r="G56" s="49"/>
      <c r="H56" s="50" t="n">
        <f aca="false">C12+C32</f>
        <v>546</v>
      </c>
    </row>
    <row r="57" customFormat="false" ht="24" hidden="false" customHeight="true" outlineLevel="0" collapsed="false">
      <c r="B57" s="51" t="s">
        <v>51</v>
      </c>
      <c r="C57" s="52"/>
      <c r="D57" s="52"/>
      <c r="E57" s="52"/>
      <c r="F57" s="52"/>
      <c r="G57" s="53"/>
      <c r="H57" s="54" t="n">
        <f aca="false">C19+C39</f>
        <v>138</v>
      </c>
    </row>
    <row r="58" customFormat="false" ht="15.75" hidden="false" customHeight="true" outlineLevel="0" collapsed="false"/>
  </sheetData>
  <mergeCells count="15">
    <mergeCell ref="D4:I4"/>
    <mergeCell ref="D16:I16"/>
    <mergeCell ref="H17:I17"/>
    <mergeCell ref="F18:G18"/>
    <mergeCell ref="H18:I18"/>
    <mergeCell ref="F19:G19"/>
    <mergeCell ref="H19:I19"/>
    <mergeCell ref="D24:I24"/>
    <mergeCell ref="D36:I36"/>
    <mergeCell ref="H37:I37"/>
    <mergeCell ref="F38:G38"/>
    <mergeCell ref="H38:I38"/>
    <mergeCell ref="F39:G39"/>
    <mergeCell ref="H39:I39"/>
    <mergeCell ref="B43:C43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48"/>
  <sheetViews>
    <sheetView showFormulas="false" showGridLines="true" showRowColHeaders="true" showZeros="true" rightToLeft="false" tabSelected="fals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 t="s">
        <v>1</v>
      </c>
      <c r="F2" s="6" t="s">
        <v>16</v>
      </c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15" t="s">
        <v>10</v>
      </c>
      <c r="E6" s="15" t="s">
        <v>11</v>
      </c>
      <c r="F6" s="15" t="s">
        <v>12</v>
      </c>
      <c r="G6" s="16" t="s">
        <v>13</v>
      </c>
      <c r="H6" s="17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v>0</v>
      </c>
      <c r="D7" s="20" t="n">
        <v>0</v>
      </c>
      <c r="E7" s="21" t="n">
        <v>0</v>
      </c>
      <c r="F7" s="21" t="n">
        <v>0</v>
      </c>
      <c r="G7" s="21" t="n">
        <v>0</v>
      </c>
      <c r="H7" s="22" t="n">
        <v>0</v>
      </c>
      <c r="I7" s="23" t="n">
        <f aca="false">IF(C7&lt;&gt;0,H7/(C7/100),0)</f>
        <v>0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24" t="n">
        <f aca="false">18+17+21+19+12+12+26+24+25+25+24+23+21+24+25+18+21</f>
        <v>355</v>
      </c>
      <c r="D8" s="25" t="n">
        <f aca="false">5+1+3+4+8+4+4+3+1+1+1+3+7+5+1+5+1</f>
        <v>57</v>
      </c>
      <c r="E8" s="26" t="n">
        <f aca="false">3+6+4+4+2+2+6+4+1+1+5+5+4+3+2+4+4</f>
        <v>60</v>
      </c>
      <c r="F8" s="26" t="n">
        <f aca="false">4+3+10+4+1+5+6+11+9+8+5+10+6+5+14+5+8</f>
        <v>114</v>
      </c>
      <c r="G8" s="26" t="n">
        <f aca="false">6+7+4+7+1+1+10+6+14+15+13+5+4+11+8+4+8</f>
        <v>124</v>
      </c>
      <c r="H8" s="27" t="n">
        <f aca="false">6+6+3+4+0+1+10+5+14+15+10+5+4+11+8+4+8</f>
        <v>114</v>
      </c>
      <c r="I8" s="28" t="n">
        <f aca="false">IF(C8&lt;&gt;0,H8/(C8/100),0)</f>
        <v>32.112676056338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24" t="n">
        <f aca="false">23+15+27+26+12+11+1+25+27+27+19+24+25</f>
        <v>262</v>
      </c>
      <c r="D9" s="25" t="n">
        <f aca="false">3+0+3+0+5+4+0+0+1+2+2+0+2</f>
        <v>22</v>
      </c>
      <c r="E9" s="26" t="n">
        <f aca="false">2+1+2+3+2+3+0+2+1+0+0+0+0</f>
        <v>16</v>
      </c>
      <c r="F9" s="26" t="n">
        <f aca="false">6+1+8+4+3+2+0+10+3+5+5+8+5</f>
        <v>60</v>
      </c>
      <c r="G9" s="26" t="n">
        <f aca="false">12+13+14+19+2+2+1+13+22+20+12+16+18</f>
        <v>164</v>
      </c>
      <c r="H9" s="27" t="n">
        <f aca="false">9+12+14+19+2+2+1+10+22+20+12+15+18</f>
        <v>156</v>
      </c>
      <c r="I9" s="28" t="n">
        <f aca="false">IF(C9&lt;&gt;0,H9/(C9/100),0)</f>
        <v>59.5419847328244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24" t="n">
        <f aca="false">8+14</f>
        <v>22</v>
      </c>
      <c r="D10" s="25" t="n">
        <f aca="false">2+1</f>
        <v>3</v>
      </c>
      <c r="E10" s="26" t="n">
        <f aca="false">1+1</f>
        <v>2</v>
      </c>
      <c r="F10" s="26" t="n">
        <f aca="false">3+1</f>
        <v>4</v>
      </c>
      <c r="G10" s="26" t="n">
        <f aca="false">2+11</f>
        <v>13</v>
      </c>
      <c r="H10" s="27" t="n">
        <f aca="false">2+11</f>
        <v>13</v>
      </c>
      <c r="I10" s="28" t="n">
        <f aca="false">IF(C10&lt;&gt;0,H10/(C10/100),0)</f>
        <v>59.0909090909091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20" t="n">
        <v>0</v>
      </c>
      <c r="D11" s="29" t="n">
        <v>0</v>
      </c>
      <c r="E11" s="30" t="n">
        <v>0</v>
      </c>
      <c r="F11" s="30" t="n">
        <v>0</v>
      </c>
      <c r="G11" s="30" t="n">
        <v>0</v>
      </c>
      <c r="H11" s="31" t="n">
        <v>0</v>
      </c>
      <c r="I11" s="32" t="n">
        <f aca="false">IF(C11&lt;&gt;0,H11/(C11/100),0)</f>
        <v>0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639</v>
      </c>
      <c r="D12" s="20" t="n">
        <f aca="false">SUM(D7:D11)</f>
        <v>82</v>
      </c>
      <c r="E12" s="21" t="n">
        <f aca="false">SUM(E7:E11)</f>
        <v>78</v>
      </c>
      <c r="F12" s="21" t="n">
        <f aca="false">SUM(F7:F11)</f>
        <v>178</v>
      </c>
      <c r="G12" s="21" t="n">
        <f aca="false">SUM(G7:G11)</f>
        <v>301</v>
      </c>
      <c r="H12" s="22" t="n">
        <f aca="false">SUM(H7:H11)</f>
        <v>283</v>
      </c>
      <c r="I12" s="23" t="n">
        <f aca="false">IF(C12&lt;&gt;0,H12/(C12/100),0)</f>
        <v>44.2879499217527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/>
      <c r="C14" s="2"/>
      <c r="D14" s="2"/>
      <c r="E14" s="5"/>
      <c r="F14" s="6"/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/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/>
      <c r="C17" s="9"/>
      <c r="D17" s="9"/>
      <c r="E17" s="12"/>
      <c r="F17" s="12"/>
      <c r="G17" s="12"/>
      <c r="H17" s="9"/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/>
      <c r="D18" s="34"/>
      <c r="E18" s="35"/>
      <c r="F18" s="36"/>
      <c r="G18" s="36"/>
      <c r="H18" s="14"/>
      <c r="I18" s="14"/>
      <c r="J18" s="13"/>
      <c r="K18" s="2"/>
    </row>
    <row r="19" customFormat="false" ht="18.95" hidden="false" customHeight="true" outlineLevel="0" collapsed="false">
      <c r="A19" s="2"/>
      <c r="B19" s="9"/>
      <c r="C19" s="19"/>
      <c r="D19" s="37"/>
      <c r="E19" s="38"/>
      <c r="F19" s="39"/>
      <c r="G19" s="39"/>
      <c r="H19" s="40"/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 t="s">
        <v>1</v>
      </c>
      <c r="F22" s="6" t="s">
        <v>16</v>
      </c>
      <c r="G22" s="4"/>
      <c r="H22" s="5" t="s">
        <v>3</v>
      </c>
      <c r="I22" s="6" t="s">
        <v>4</v>
      </c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 t="n">
        <v>30</v>
      </c>
      <c r="D27" s="20" t="n">
        <v>3</v>
      </c>
      <c r="E27" s="21" t="n">
        <v>11</v>
      </c>
      <c r="F27" s="21" t="n">
        <v>9</v>
      </c>
      <c r="G27" s="21" t="n">
        <v>13</v>
      </c>
      <c r="H27" s="22" t="n">
        <v>9</v>
      </c>
      <c r="I27" s="23" t="n">
        <f aca="false">IF(C27&lt;&gt;0,H27/(C27/100),0)</f>
        <v>30</v>
      </c>
      <c r="J27" s="13"/>
    </row>
    <row r="28" customFormat="false" ht="17.25" hidden="false" customHeight="true" outlineLevel="0" collapsed="false">
      <c r="B28" s="18" t="s">
        <v>16</v>
      </c>
      <c r="C28" s="24" t="n">
        <v>6</v>
      </c>
      <c r="D28" s="25" t="n">
        <v>1</v>
      </c>
      <c r="E28" s="26" t="n">
        <v>0</v>
      </c>
      <c r="F28" s="26" t="n">
        <v>0</v>
      </c>
      <c r="G28" s="26" t="n">
        <v>5</v>
      </c>
      <c r="H28" s="27" t="n">
        <v>5</v>
      </c>
      <c r="I28" s="28" t="n">
        <f aca="false">IF(C28&lt;&gt;0,H28/(C28/100),0)</f>
        <v>83.3333333333333</v>
      </c>
      <c r="J28" s="13"/>
    </row>
    <row r="29" customFormat="false" ht="17.25" hidden="false" customHeight="true" outlineLevel="0" collapsed="false">
      <c r="B29" s="18" t="s">
        <v>17</v>
      </c>
      <c r="C29" s="24"/>
      <c r="D29" s="25"/>
      <c r="E29" s="26"/>
      <c r="F29" s="26"/>
      <c r="G29" s="26"/>
      <c r="H29" s="27"/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24"/>
      <c r="D30" s="25"/>
      <c r="E30" s="26"/>
      <c r="F30" s="26"/>
      <c r="G30" s="26"/>
      <c r="H30" s="27"/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20"/>
      <c r="D31" s="29"/>
      <c r="E31" s="30"/>
      <c r="F31" s="41"/>
      <c r="G31" s="30"/>
      <c r="H31" s="31"/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36</v>
      </c>
      <c r="D32" s="20" t="n">
        <f aca="false">SUM(D27:D31)</f>
        <v>4</v>
      </c>
      <c r="E32" s="21" t="n">
        <f aca="false">SUM(E27:E31)</f>
        <v>11</v>
      </c>
      <c r="F32" s="21" t="n">
        <f aca="false">SUM(F27:F31)</f>
        <v>9</v>
      </c>
      <c r="G32" s="21" t="n">
        <f aca="false">SUM(G27:G31)</f>
        <v>18</v>
      </c>
      <c r="H32" s="22" t="n">
        <f aca="false">SUM(H27:H31)</f>
        <v>14</v>
      </c>
      <c r="I32" s="23" t="n">
        <f aca="false">IF(C32&lt;&gt;0,H32/(C32/100),0)</f>
        <v>38.8888888888889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/>
      <c r="C34" s="2"/>
      <c r="D34" s="2"/>
      <c r="E34" s="5"/>
      <c r="F34" s="6"/>
      <c r="G34" s="4"/>
      <c r="H34" s="5"/>
      <c r="I34" s="6"/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/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/>
      <c r="C37" s="9"/>
      <c r="D37" s="9"/>
      <c r="E37" s="12"/>
      <c r="F37" s="12"/>
      <c r="G37" s="12"/>
      <c r="H37" s="11"/>
      <c r="I37" s="11"/>
    </row>
    <row r="38" customFormat="false" ht="17.25" hidden="false" customHeight="true" outlineLevel="0" collapsed="false">
      <c r="B38" s="14"/>
      <c r="C38" s="14"/>
      <c r="D38" s="34"/>
      <c r="E38" s="35"/>
      <c r="F38" s="36"/>
      <c r="G38" s="36"/>
      <c r="H38" s="17"/>
      <c r="I38" s="17"/>
    </row>
    <row r="39" customFormat="false" ht="17.25" hidden="false" customHeight="true" outlineLevel="0" collapsed="false">
      <c r="B39" s="18"/>
      <c r="C39" s="42"/>
      <c r="D39" s="43"/>
      <c r="E39" s="44"/>
      <c r="F39" s="45"/>
      <c r="G39" s="45"/>
      <c r="H39" s="40"/>
      <c r="I39" s="40"/>
    </row>
    <row r="40" customFormat="false" ht="15.75" hidden="false" customHeight="true" outlineLevel="0" collapsed="false"/>
    <row r="44" customFormat="false" ht="23.25" hidden="false" customHeight="true" outlineLevel="0" collapsed="false">
      <c r="B44" s="46" t="s">
        <v>22</v>
      </c>
    </row>
    <row r="45" customFormat="false" ht="15.75" hidden="false" customHeight="true" outlineLevel="0" collapsed="false"/>
    <row r="46" customFormat="false" ht="24" hidden="false" customHeight="true" outlineLevel="0" collapsed="false">
      <c r="B46" s="47" t="s">
        <v>52</v>
      </c>
      <c r="C46" s="48"/>
      <c r="D46" s="48"/>
      <c r="E46" s="48"/>
      <c r="F46" s="48"/>
      <c r="G46" s="49"/>
      <c r="H46" s="50" t="n">
        <f aca="false">C12+C32</f>
        <v>675</v>
      </c>
    </row>
    <row r="47" customFormat="false" ht="24" hidden="false" customHeight="true" outlineLevel="0" collapsed="false">
      <c r="B47" s="51"/>
      <c r="C47" s="52"/>
      <c r="D47" s="52"/>
      <c r="E47" s="52"/>
      <c r="F47" s="52"/>
      <c r="G47" s="53"/>
      <c r="H47" s="54" t="n">
        <f aca="false">C19+C39</f>
        <v>0</v>
      </c>
    </row>
    <row r="48" customFormat="false" ht="15.75" hidden="false" customHeight="true" outlineLevel="0" collapsed="false"/>
  </sheetData>
  <mergeCells count="14">
    <mergeCell ref="D4:I4"/>
    <mergeCell ref="D16:I16"/>
    <mergeCell ref="H17:I17"/>
    <mergeCell ref="F18:G18"/>
    <mergeCell ref="H18:I18"/>
    <mergeCell ref="F19:G19"/>
    <mergeCell ref="H19:I19"/>
    <mergeCell ref="D24:I24"/>
    <mergeCell ref="D36:I36"/>
    <mergeCell ref="H37:I37"/>
    <mergeCell ref="F38:G38"/>
    <mergeCell ref="H38:I38"/>
    <mergeCell ref="F39:G39"/>
    <mergeCell ref="H39:I39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59"/>
  <sheetViews>
    <sheetView showFormulas="false" showGridLines="true" showRowColHeaders="true" showZeros="true" rightToLeft="false" tabSelected="true" showOutlineSymbols="false" defaultGridColor="true" view="normal" topLeftCell="A1" colorId="64" zoomScale="87" zoomScaleNormal="87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3.13"/>
    <col collapsed="false" customWidth="true" hidden="false" outlineLevel="0" max="2" min="2" style="1" width="10.41"/>
    <col collapsed="false" customWidth="true" hidden="false" outlineLevel="0" max="3" min="3" style="1" width="12.56"/>
    <col collapsed="false" customWidth="true" hidden="false" outlineLevel="0" max="7" min="4" style="1" width="10.12"/>
    <col collapsed="false" customWidth="true" hidden="false" outlineLevel="0" max="9" min="8" style="1" width="10.41"/>
    <col collapsed="false" customWidth="true" hidden="false" outlineLevel="0" max="10" min="10" style="1" width="3.13"/>
    <col collapsed="false" customWidth="false" hidden="false" outlineLevel="0" max="257" min="11" style="1" width="11.57"/>
    <col collapsed="false" customWidth="true" hidden="false" outlineLevel="0" max="1025" min="258" style="0" width="8.67"/>
  </cols>
  <sheetData>
    <row r="1" customFormat="false" ht="12.75" hidden="false" customHeight="false" outlineLevel="0" collapsed="false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26.1" hidden="false" customHeight="true" outlineLevel="0" collapsed="false">
      <c r="A2" s="2"/>
      <c r="B2" s="3" t="s">
        <v>0</v>
      </c>
      <c r="C2" s="4"/>
      <c r="D2" s="4"/>
      <c r="E2" s="5"/>
      <c r="F2" s="6"/>
      <c r="G2" s="4"/>
      <c r="H2" s="5" t="s">
        <v>3</v>
      </c>
      <c r="I2" s="6" t="s">
        <v>4</v>
      </c>
      <c r="J2" s="7"/>
      <c r="K2" s="2"/>
    </row>
    <row r="3" customFormat="false" ht="20.1" hidden="false" customHeight="true" outlineLevel="0" collapsed="false">
      <c r="A3" s="2"/>
      <c r="B3" s="8"/>
      <c r="C3" s="8"/>
      <c r="D3" s="8"/>
      <c r="E3" s="8"/>
      <c r="F3" s="8"/>
      <c r="G3" s="8"/>
      <c r="H3" s="8"/>
      <c r="I3" s="8"/>
      <c r="J3" s="7"/>
      <c r="K3" s="2"/>
    </row>
    <row r="4" customFormat="false" ht="18.95" hidden="false" customHeight="true" outlineLevel="0" collapsed="false">
      <c r="A4" s="2"/>
      <c r="B4" s="8"/>
      <c r="C4" s="8"/>
      <c r="D4" s="9" t="s">
        <v>5</v>
      </c>
      <c r="E4" s="9"/>
      <c r="F4" s="9"/>
      <c r="G4" s="9"/>
      <c r="H4" s="9"/>
      <c r="I4" s="9"/>
      <c r="J4" s="10"/>
      <c r="K4" s="2"/>
    </row>
    <row r="5" customFormat="false" ht="18.95" hidden="false" customHeight="true" outlineLevel="0" collapsed="false">
      <c r="A5" s="2"/>
      <c r="B5" s="11" t="s">
        <v>6</v>
      </c>
      <c r="C5" s="9" t="s">
        <v>7</v>
      </c>
      <c r="D5" s="9"/>
      <c r="E5" s="12"/>
      <c r="F5" s="12"/>
      <c r="G5" s="12"/>
      <c r="H5" s="11" t="s">
        <v>7</v>
      </c>
      <c r="I5" s="9" t="s">
        <v>8</v>
      </c>
      <c r="J5" s="13"/>
      <c r="K5" s="2"/>
    </row>
    <row r="6" customFormat="false" ht="18.95" hidden="false" customHeight="true" outlineLevel="0" collapsed="false">
      <c r="A6" s="2"/>
      <c r="B6" s="14"/>
      <c r="C6" s="14" t="s">
        <v>9</v>
      </c>
      <c r="D6" s="74" t="s">
        <v>10</v>
      </c>
      <c r="E6" s="74" t="s">
        <v>11</v>
      </c>
      <c r="F6" s="74" t="s">
        <v>12</v>
      </c>
      <c r="G6" s="75" t="s">
        <v>13</v>
      </c>
      <c r="H6" s="76" t="s">
        <v>14</v>
      </c>
      <c r="I6" s="14" t="s">
        <v>15</v>
      </c>
      <c r="J6" s="13"/>
      <c r="K6" s="2"/>
    </row>
    <row r="7" customFormat="false" ht="18.95" hidden="false" customHeight="true" outlineLevel="0" collapsed="false">
      <c r="A7" s="2"/>
      <c r="B7" s="18" t="s">
        <v>2</v>
      </c>
      <c r="C7" s="19" t="n">
        <f aca="false">'VYHODNOCENí 1.'!C7+'VYHODNOCENí I.'!C7+'VYHODNOCENí II.'!C7+'VYHODNOCENí III.'!C7+'VYHODNOCENí 2.'!C7</f>
        <v>217</v>
      </c>
      <c r="D7" s="77" t="n">
        <f aca="false">'VYHODNOCENí 1.'!D7+'VYHODNOCENí I.'!D7+'VYHODNOCENí II.'!D7+'VYHODNOCENí III.'!D7+'VYHODNOCENí 2.'!D7</f>
        <v>95</v>
      </c>
      <c r="E7" s="77" t="n">
        <f aca="false">'VYHODNOCENí 1.'!E7+'VYHODNOCENí I.'!E7+'VYHODNOCENí II.'!E7+'VYHODNOCENí III.'!E7+'VYHODNOCENí 2.'!E7</f>
        <v>67</v>
      </c>
      <c r="F7" s="77" t="n">
        <f aca="false">'VYHODNOCENí 1.'!F7+'VYHODNOCENí I.'!F7+'VYHODNOCENí II.'!F7+'VYHODNOCENí III.'!F7+'VYHODNOCENí 2.'!F7</f>
        <v>41</v>
      </c>
      <c r="G7" s="77" t="n">
        <f aca="false">'VYHODNOCENí 1.'!G7+'VYHODNOCENí I.'!G7+'VYHODNOCENí II.'!G7+'VYHODNOCENí III.'!G7+'VYHODNOCENí 2.'!G7</f>
        <v>11</v>
      </c>
      <c r="H7" s="77" t="n">
        <f aca="false">'VYHODNOCENí 1.'!H7+'VYHODNOCENí I.'!H7+'VYHODNOCENí II.'!H7+'VYHODNOCENí III.'!H7+'VYHODNOCENí 2.'!H7</f>
        <v>8</v>
      </c>
      <c r="I7" s="23" t="n">
        <f aca="false">IF(C7&lt;&gt;0,H7/(C7/100),0)</f>
        <v>3.68663594470046</v>
      </c>
      <c r="J7" s="13"/>
      <c r="K7" s="2"/>
    </row>
    <row r="8" customFormat="false" ht="18.95" hidden="false" customHeight="true" outlineLevel="0" collapsed="false">
      <c r="A8" s="2"/>
      <c r="B8" s="18" t="s">
        <v>16</v>
      </c>
      <c r="C8" s="19" t="n">
        <f aca="false">'VYHODNOCENí 1.'!C8+'VYHODNOCENí I.'!C8+'VYHODNOCENí II.'!C8+'VYHODNOCENí III.'!C8+'VYHODNOCENí 2.'!C8</f>
        <v>1066</v>
      </c>
      <c r="D8" s="25" t="n">
        <f aca="false">'VYHODNOCENí 1.'!D8+'VYHODNOCENí I.'!D8+'VYHODNOCENí II.'!D8+'VYHODNOCENí III.'!D8+'VYHODNOCENí 2.'!D8</f>
        <v>194</v>
      </c>
      <c r="E8" s="26" t="n">
        <f aca="false">'VYHODNOCENí 1.'!E8+'VYHODNOCENí I.'!E8+'VYHODNOCENí II.'!E8+'VYHODNOCENí III.'!E8+'VYHODNOCENí 2.'!E8</f>
        <v>201</v>
      </c>
      <c r="F8" s="26" t="n">
        <f aca="false">'VYHODNOCENí 1.'!F8+'VYHODNOCENí I.'!F8+'VYHODNOCENí II.'!F8+'VYHODNOCENí III.'!F8+'VYHODNOCENí 2.'!F8</f>
        <v>358</v>
      </c>
      <c r="G8" s="26" t="n">
        <f aca="false">'VYHODNOCENí 1.'!G8+'VYHODNOCENí I.'!G8+'VYHODNOCENí II.'!G8+'VYHODNOCENí III.'!G8+'VYHODNOCENí 2.'!G8</f>
        <v>312</v>
      </c>
      <c r="H8" s="27" t="n">
        <f aca="false">'VYHODNOCENí 1.'!H8+'VYHODNOCENí I.'!H8+'VYHODNOCENí II.'!H8+'VYHODNOCENí III.'!H8+'VYHODNOCENí 2.'!H8</f>
        <v>275</v>
      </c>
      <c r="I8" s="28" t="n">
        <f aca="false">IF(C8&lt;&gt;0,H8/(C8/100),0)</f>
        <v>25.797373358349</v>
      </c>
      <c r="J8" s="13"/>
      <c r="K8" s="2"/>
    </row>
    <row r="9" customFormat="false" ht="18.95" hidden="false" customHeight="true" outlineLevel="0" collapsed="false">
      <c r="A9" s="2"/>
      <c r="B9" s="18" t="s">
        <v>17</v>
      </c>
      <c r="C9" s="19" t="n">
        <f aca="false">'VYHODNOCENí 1.'!C9+'VYHODNOCENí I.'!C9+'VYHODNOCENí II.'!C9+'VYHODNOCENí III.'!C9+'VYHODNOCENí 2.'!C9</f>
        <v>1041</v>
      </c>
      <c r="D9" s="25" t="n">
        <f aca="false">'VYHODNOCENí 1.'!D9+'VYHODNOCENí I.'!D9+'VYHODNOCENí II.'!D9+'VYHODNOCENí III.'!D9+'VYHODNOCENí 2.'!D9</f>
        <v>93</v>
      </c>
      <c r="E9" s="26" t="n">
        <f aca="false">'VYHODNOCENí 1.'!E9+'VYHODNOCENí I.'!E9+'VYHODNOCENí II.'!E9+'VYHODNOCENí III.'!E9+'VYHODNOCENí 2.'!E9</f>
        <v>95</v>
      </c>
      <c r="F9" s="26" t="n">
        <f aca="false">'VYHODNOCENí 1.'!F9+'VYHODNOCENí I.'!F9+'VYHODNOCENí II.'!F9+'VYHODNOCENí III.'!F9+'VYHODNOCENí 2.'!F9</f>
        <v>268</v>
      </c>
      <c r="G9" s="26" t="n">
        <f aca="false">'VYHODNOCENí 1.'!G9+'VYHODNOCENí I.'!G9+'VYHODNOCENí II.'!G9+'VYHODNOCENí III.'!G9+'VYHODNOCENí 2.'!G9</f>
        <v>589</v>
      </c>
      <c r="H9" s="27" t="n">
        <f aca="false">'VYHODNOCENí 1.'!H9+'VYHODNOCENí I.'!H9+'VYHODNOCENí II.'!H9+'VYHODNOCENí III.'!H9+'VYHODNOCENí 2.'!H9</f>
        <v>545</v>
      </c>
      <c r="I9" s="28" t="n">
        <f aca="false">IF(C9&lt;&gt;0,H9/(C9/100),0)</f>
        <v>52.3535062439962</v>
      </c>
      <c r="J9" s="13"/>
      <c r="K9" s="2"/>
    </row>
    <row r="10" customFormat="false" ht="18.95" hidden="false" customHeight="true" outlineLevel="0" collapsed="false">
      <c r="A10" s="2"/>
      <c r="B10" s="18" t="s">
        <v>18</v>
      </c>
      <c r="C10" s="19" t="n">
        <f aca="false">'VYHODNOCENí 1.'!C10+'VYHODNOCENí I.'!C10+'VYHODNOCENí II.'!C10+'VYHODNOCENí III.'!C10+'VYHODNOCENí 2.'!C10</f>
        <v>523</v>
      </c>
      <c r="D10" s="25" t="n">
        <f aca="false">'VYHODNOCENí 1.'!D10+'VYHODNOCENí I.'!D10+'VYHODNOCENí II.'!D10+'VYHODNOCENí III.'!D10+'VYHODNOCENí 2.'!D10</f>
        <v>44</v>
      </c>
      <c r="E10" s="26" t="n">
        <f aca="false">'VYHODNOCENí 1.'!E10+'VYHODNOCENí I.'!E10+'VYHODNOCENí II.'!E10+'VYHODNOCENí III.'!E10+'VYHODNOCENí 2.'!E10</f>
        <v>22</v>
      </c>
      <c r="F10" s="26" t="n">
        <f aca="false">'VYHODNOCENí 1.'!F10+'VYHODNOCENí I.'!F10+'VYHODNOCENí II.'!F10+'VYHODNOCENí III.'!F10+'VYHODNOCENí 2.'!F10</f>
        <v>114</v>
      </c>
      <c r="G10" s="26" t="n">
        <f aca="false">'VYHODNOCENí 1.'!G10+'VYHODNOCENí I.'!G10+'VYHODNOCENí II.'!G10+'VYHODNOCENí III.'!G10+'VYHODNOCENí 2.'!G10</f>
        <v>342</v>
      </c>
      <c r="H10" s="27" t="n">
        <f aca="false">'VYHODNOCENí 1.'!H10+'VYHODNOCENí I.'!H10+'VYHODNOCENí II.'!H10+'VYHODNOCENí III.'!H10+'VYHODNOCENí 2.'!H10</f>
        <v>324</v>
      </c>
      <c r="I10" s="28" t="n">
        <f aca="false">IF(C10&lt;&gt;0,H10/(C10/100),0)</f>
        <v>61.9502868068834</v>
      </c>
      <c r="J10" s="13"/>
      <c r="K10" s="2"/>
    </row>
    <row r="11" customFormat="false" ht="18.95" hidden="false" customHeight="true" outlineLevel="0" collapsed="false">
      <c r="A11" s="2"/>
      <c r="B11" s="18" t="s">
        <v>19</v>
      </c>
      <c r="C11" s="19" t="n">
        <f aca="false">'VYHODNOCENí 1.'!C11+'VYHODNOCENí I.'!C11+'VYHODNOCENí II.'!C11+'VYHODNOCENí III.'!C11+'VYHODNOCENí 2.'!C11</f>
        <v>74</v>
      </c>
      <c r="D11" s="29" t="n">
        <f aca="false">'VYHODNOCENí 1.'!D11+'VYHODNOCENí I.'!D11+'VYHODNOCENí II.'!D11+'VYHODNOCENí III.'!D11+'VYHODNOCENí 2.'!D11</f>
        <v>1</v>
      </c>
      <c r="E11" s="30" t="n">
        <f aca="false">'VYHODNOCENí 1.'!E11+'VYHODNOCENí I.'!E11+'VYHODNOCENí II.'!E11+'VYHODNOCENí III.'!E11+'VYHODNOCENí 2.'!E11</f>
        <v>1</v>
      </c>
      <c r="F11" s="30" t="n">
        <f aca="false">'VYHODNOCENí 1.'!F11+'VYHODNOCENí I.'!F11+'VYHODNOCENí II.'!F11+'VYHODNOCENí III.'!F11+'VYHODNOCENí 2.'!F11</f>
        <v>7</v>
      </c>
      <c r="G11" s="30" t="n">
        <f aca="false">'VYHODNOCENí 1.'!G11+'VYHODNOCENí I.'!G11+'VYHODNOCENí II.'!G11+'VYHODNOCENí III.'!G11+'VYHODNOCENí 2.'!G11</f>
        <v>65</v>
      </c>
      <c r="H11" s="31" t="n">
        <f aca="false">'VYHODNOCENí 1.'!H11+'VYHODNOCENí I.'!H11+'VYHODNOCENí II.'!H11+'VYHODNOCENí III.'!H11+'VYHODNOCENí 2.'!H11</f>
        <v>66</v>
      </c>
      <c r="I11" s="32" t="n">
        <f aca="false">IF(C11&lt;&gt;0,H11/(C11/100),0)</f>
        <v>89.1891891891892</v>
      </c>
      <c r="J11" s="13"/>
      <c r="K11" s="2"/>
    </row>
    <row r="12" customFormat="false" ht="18.95" hidden="false" customHeight="true" outlineLevel="0" collapsed="false">
      <c r="A12" s="2"/>
      <c r="B12" s="9" t="s">
        <v>20</v>
      </c>
      <c r="C12" s="19" t="n">
        <f aca="false">SUM(C7:C11)</f>
        <v>2921</v>
      </c>
      <c r="D12" s="20" t="n">
        <f aca="false">SUM(D7:D11)</f>
        <v>427</v>
      </c>
      <c r="E12" s="21" t="n">
        <f aca="false">SUM(E7:E11)</f>
        <v>386</v>
      </c>
      <c r="F12" s="21" t="n">
        <f aca="false">SUM(F7:F11)</f>
        <v>788</v>
      </c>
      <c r="G12" s="21" t="n">
        <f aca="false">SUM(G7:G11)</f>
        <v>1319</v>
      </c>
      <c r="H12" s="22" t="n">
        <f aca="false">SUM(H7:H11)</f>
        <v>1218</v>
      </c>
      <c r="I12" s="23" t="n">
        <f aca="false">IF(C12&lt;&gt;0,H12/(C12/100),0)</f>
        <v>41.6980486134885</v>
      </c>
      <c r="J12" s="13"/>
      <c r="K12" s="2"/>
    </row>
    <row r="13" customFormat="false" ht="18.95" hidden="false" customHeight="true" outlineLevel="0" collapsed="false">
      <c r="A13" s="2"/>
      <c r="B13" s="33"/>
      <c r="C13" s="33"/>
      <c r="D13" s="33"/>
      <c r="E13" s="33"/>
      <c r="F13" s="33"/>
      <c r="G13" s="33"/>
      <c r="H13" s="33"/>
      <c r="I13" s="33"/>
      <c r="J13" s="7"/>
      <c r="K13" s="2"/>
    </row>
    <row r="14" customFormat="false" ht="18.95" hidden="false" customHeight="true" outlineLevel="0" collapsed="false">
      <c r="A14" s="2"/>
      <c r="B14" s="3" t="s">
        <v>26</v>
      </c>
      <c r="C14" s="2"/>
      <c r="D14" s="2"/>
      <c r="E14" s="5"/>
      <c r="F14" s="6"/>
      <c r="G14" s="2"/>
      <c r="H14" s="2"/>
      <c r="I14" s="2"/>
      <c r="J14" s="7"/>
      <c r="K14" s="2"/>
    </row>
    <row r="15" customFormat="false" ht="18.95" hidden="false" customHeight="true" outlineLevel="0" collapsed="false">
      <c r="A15" s="2"/>
      <c r="B15" s="7"/>
      <c r="C15" s="7"/>
      <c r="D15" s="7"/>
      <c r="E15" s="7"/>
      <c r="F15" s="7"/>
      <c r="G15" s="7"/>
      <c r="H15" s="7"/>
      <c r="I15" s="7"/>
      <c r="J15" s="7"/>
      <c r="K15" s="2"/>
    </row>
    <row r="16" customFormat="false" ht="18.95" hidden="false" customHeight="true" outlineLevel="0" collapsed="false">
      <c r="A16" s="2"/>
      <c r="B16" s="8"/>
      <c r="C16" s="8"/>
      <c r="D16" s="9" t="s">
        <v>5</v>
      </c>
      <c r="E16" s="9"/>
      <c r="F16" s="9"/>
      <c r="G16" s="9"/>
      <c r="H16" s="9"/>
      <c r="I16" s="9"/>
      <c r="J16" s="10"/>
      <c r="K16" s="2"/>
    </row>
    <row r="17" customFormat="false" ht="18.95" hidden="false" customHeight="true" outlineLevel="0" collapsed="false">
      <c r="A17" s="2"/>
      <c r="B17" s="11" t="s">
        <v>6</v>
      </c>
      <c r="C17" s="9" t="s">
        <v>7</v>
      </c>
      <c r="D17" s="9"/>
      <c r="E17" s="12"/>
      <c r="F17" s="12"/>
      <c r="G17" s="12"/>
      <c r="H17" s="9" t="s">
        <v>27</v>
      </c>
      <c r="I17" s="9"/>
      <c r="J17" s="13"/>
      <c r="K17" s="2"/>
    </row>
    <row r="18" customFormat="false" ht="18.95" hidden="false" customHeight="true" outlineLevel="0" collapsed="false">
      <c r="A18" s="2"/>
      <c r="B18" s="14"/>
      <c r="C18" s="14" t="s">
        <v>28</v>
      </c>
      <c r="D18" s="34" t="s">
        <v>29</v>
      </c>
      <c r="E18" s="35" t="s">
        <v>30</v>
      </c>
      <c r="F18" s="36" t="s">
        <v>31</v>
      </c>
      <c r="G18" s="36"/>
      <c r="H18" s="14" t="s">
        <v>32</v>
      </c>
      <c r="I18" s="14"/>
      <c r="J18" s="13"/>
      <c r="K18" s="2"/>
    </row>
    <row r="19" customFormat="false" ht="18.95" hidden="false" customHeight="true" outlineLevel="0" collapsed="false">
      <c r="A19" s="2"/>
      <c r="B19" s="9" t="s">
        <v>33</v>
      </c>
      <c r="C19" s="19" t="n">
        <f aca="false">'VYHODNOCENí I.'!C19+'VYHODNOCENí II.'!C19+'VYHODNOCENí III.'!C19</f>
        <v>220</v>
      </c>
      <c r="D19" s="78" t="n">
        <f aca="false">'VYHODNOCENí I.'!D19+'VYHODNOCENí II.'!D19+'VYHODNOCENí III.'!D19</f>
        <v>53</v>
      </c>
      <c r="E19" s="79" t="n">
        <f aca="false">'VYHODNOCENí I.'!E19+'VYHODNOCENí II.'!E19+'VYHODNOCENí III.'!E19</f>
        <v>140</v>
      </c>
      <c r="F19" s="80" t="n">
        <f aca="false">'VYHODNOCENí I.'!F19+'VYHODNOCENí II.'!F19+'VYHODNOCENí III.'!F19</f>
        <v>27</v>
      </c>
      <c r="G19" s="81"/>
      <c r="H19" s="40" t="n">
        <f aca="false">IF(C19&lt;&gt;0,F19/(C19/100),0)</f>
        <v>12.2727272727273</v>
      </c>
      <c r="I19" s="40"/>
      <c r="J19" s="13"/>
      <c r="K19" s="2"/>
    </row>
    <row r="20" customFormat="false" ht="15.75" hidden="false" customHeight="true" outlineLevel="0" collapsed="false">
      <c r="A20" s="2"/>
      <c r="B20" s="33"/>
      <c r="C20" s="33"/>
      <c r="D20" s="33"/>
      <c r="E20" s="33"/>
      <c r="F20" s="33"/>
      <c r="G20" s="33"/>
      <c r="H20" s="33"/>
      <c r="I20" s="33"/>
      <c r="J20" s="7"/>
      <c r="K20" s="2"/>
    </row>
    <row r="21" customFormat="false" ht="12.75" hidden="false" customHeight="false" outlineLevel="0" collapsed="false">
      <c r="A21" s="2"/>
      <c r="B21" s="2"/>
      <c r="C21" s="2"/>
      <c r="D21" s="2"/>
      <c r="E21" s="2"/>
      <c r="F21" s="2"/>
      <c r="G21" s="2"/>
      <c r="H21" s="2"/>
      <c r="I21" s="2"/>
      <c r="J21" s="7"/>
      <c r="K21" s="2"/>
    </row>
    <row r="22" customFormat="false" ht="21.75" hidden="false" customHeight="true" outlineLevel="0" collapsed="false">
      <c r="A22" s="2"/>
      <c r="B22" s="3" t="s">
        <v>21</v>
      </c>
      <c r="C22" s="4"/>
      <c r="D22" s="4"/>
      <c r="E22" s="5"/>
      <c r="F22" s="6"/>
      <c r="G22" s="4"/>
      <c r="H22" s="5" t="s">
        <v>3</v>
      </c>
      <c r="I22" s="6" t="s">
        <v>4</v>
      </c>
      <c r="J22" s="7"/>
      <c r="K22" s="2"/>
    </row>
    <row r="23" customFormat="false" ht="15.75" hidden="false" customHeight="true" outlineLevel="0" collapsed="false">
      <c r="A23" s="2"/>
      <c r="B23" s="8"/>
      <c r="C23" s="8"/>
      <c r="D23" s="8"/>
      <c r="E23" s="8"/>
      <c r="F23" s="8"/>
      <c r="G23" s="8"/>
      <c r="H23" s="8"/>
      <c r="I23" s="8"/>
      <c r="J23" s="7"/>
      <c r="K23" s="2"/>
    </row>
    <row r="24" customFormat="false" ht="17.25" hidden="false" customHeight="true" outlineLevel="0" collapsed="false">
      <c r="A24" s="2"/>
      <c r="B24" s="8"/>
      <c r="C24" s="8"/>
      <c r="D24" s="9" t="s">
        <v>5</v>
      </c>
      <c r="E24" s="9"/>
      <c r="F24" s="9"/>
      <c r="G24" s="9"/>
      <c r="H24" s="9"/>
      <c r="I24" s="9"/>
      <c r="J24" s="10"/>
      <c r="K24" s="2"/>
    </row>
    <row r="25" customFormat="false" ht="17.25" hidden="false" customHeight="true" outlineLevel="0" collapsed="false">
      <c r="A25" s="2"/>
      <c r="B25" s="11" t="s">
        <v>6</v>
      </c>
      <c r="C25" s="9" t="s">
        <v>7</v>
      </c>
      <c r="D25" s="9"/>
      <c r="E25" s="12"/>
      <c r="F25" s="12"/>
      <c r="G25" s="12"/>
      <c r="H25" s="11" t="s">
        <v>7</v>
      </c>
      <c r="I25" s="9" t="s">
        <v>8</v>
      </c>
      <c r="J25" s="13"/>
    </row>
    <row r="26" customFormat="false" ht="17.25" hidden="false" customHeight="true" outlineLevel="0" collapsed="false">
      <c r="B26" s="14"/>
      <c r="C26" s="14" t="s">
        <v>9</v>
      </c>
      <c r="D26" s="15" t="s">
        <v>10</v>
      </c>
      <c r="E26" s="15" t="s">
        <v>11</v>
      </c>
      <c r="F26" s="15" t="s">
        <v>12</v>
      </c>
      <c r="G26" s="16" t="s">
        <v>13</v>
      </c>
      <c r="H26" s="17" t="s">
        <v>14</v>
      </c>
      <c r="I26" s="14" t="s">
        <v>15</v>
      </c>
      <c r="J26" s="13"/>
    </row>
    <row r="27" customFormat="false" ht="17.25" hidden="false" customHeight="true" outlineLevel="0" collapsed="false">
      <c r="B27" s="18" t="s">
        <v>2</v>
      </c>
      <c r="C27" s="19" t="n">
        <f aca="false">'VYHODNOCENí 1.'!C27+'VYHODNOCENí 2.'!C27</f>
        <v>76</v>
      </c>
      <c r="D27" s="20" t="n">
        <f aca="false">'VYHODNOCENí 1.'!D27+'VYHODNOCENí 2.'!D27</f>
        <v>32</v>
      </c>
      <c r="E27" s="21" t="n">
        <f aca="false">'VYHODNOCENí 1.'!E27+'VYHODNOCENí 2.'!E27</f>
        <v>23</v>
      </c>
      <c r="F27" s="21" t="n">
        <f aca="false">'VYHODNOCENí 1.'!F27+'VYHODNOCENí 2.'!F27</f>
        <v>14</v>
      </c>
      <c r="G27" s="21" t="n">
        <f aca="false">'VYHODNOCENí 1.'!G27+'VYHODNOCENí 2.'!G27</f>
        <v>13</v>
      </c>
      <c r="H27" s="22" t="n">
        <f aca="false">'VYHODNOCENí 1.'!H27+'VYHODNOCENí 2.'!H27</f>
        <v>9</v>
      </c>
      <c r="I27" s="23" t="n">
        <f aca="false">IF(C27&lt;&gt;0,H27/(C27/100),0)</f>
        <v>11.8421052631579</v>
      </c>
      <c r="J27" s="13"/>
    </row>
    <row r="28" customFormat="false" ht="17.25" hidden="false" customHeight="true" outlineLevel="0" collapsed="false">
      <c r="B28" s="18" t="s">
        <v>16</v>
      </c>
      <c r="C28" s="19" t="n">
        <f aca="false">'VYHODNOCENí 1.'!C28+'VYHODNOCENí 2.'!C28</f>
        <v>14</v>
      </c>
      <c r="D28" s="25" t="n">
        <f aca="false">'VYHODNOCENí 1.'!D28+'VYHODNOCENí 2.'!D28</f>
        <v>2</v>
      </c>
      <c r="E28" s="26" t="n">
        <f aca="false">'VYHODNOCENí 1.'!E28+'VYHODNOCENí 2.'!E28</f>
        <v>2</v>
      </c>
      <c r="F28" s="26" t="n">
        <f aca="false">'VYHODNOCENí 1.'!F28+'VYHODNOCENí 2.'!F28</f>
        <v>3</v>
      </c>
      <c r="G28" s="26" t="n">
        <f aca="false">'VYHODNOCENí 1.'!G28+'VYHODNOCENí 2.'!G28</f>
        <v>7</v>
      </c>
      <c r="H28" s="27" t="n">
        <f aca="false">'VYHODNOCENí 1.'!H28+'VYHODNOCENí 2.'!H28</f>
        <v>7</v>
      </c>
      <c r="I28" s="28" t="n">
        <f aca="false">IF(C28&lt;&gt;0,H28/(C28/100),0)</f>
        <v>50</v>
      </c>
      <c r="J28" s="13"/>
    </row>
    <row r="29" customFormat="false" ht="17.25" hidden="false" customHeight="true" outlineLevel="0" collapsed="false">
      <c r="B29" s="18" t="s">
        <v>17</v>
      </c>
      <c r="C29" s="19" t="n">
        <f aca="false">'VYHODNOCENí 1.'!C29+'VYHODNOCENí 2.'!C29</f>
        <v>0</v>
      </c>
      <c r="D29" s="25" t="n">
        <f aca="false">'VYHODNOCENí 1.'!D29+'VYHODNOCENí 2.'!D29</f>
        <v>0</v>
      </c>
      <c r="E29" s="26" t="n">
        <f aca="false">'VYHODNOCENí 1.'!E29+'VYHODNOCENí 2.'!E29</f>
        <v>0</v>
      </c>
      <c r="F29" s="26" t="n">
        <f aca="false">'VYHODNOCENí 1.'!F29+'VYHODNOCENí 2.'!F29</f>
        <v>0</v>
      </c>
      <c r="G29" s="26" t="n">
        <f aca="false">'VYHODNOCENí 1.'!G29+'VYHODNOCENí 2.'!G29</f>
        <v>0</v>
      </c>
      <c r="H29" s="27" t="n">
        <f aca="false">'VYHODNOCENí 1.'!H29+'VYHODNOCENí 2.'!H29</f>
        <v>0</v>
      </c>
      <c r="I29" s="28" t="n">
        <f aca="false">IF(C29&lt;&gt;0,H29/(C29/100),0)</f>
        <v>0</v>
      </c>
      <c r="J29" s="13"/>
    </row>
    <row r="30" customFormat="false" ht="17.25" hidden="false" customHeight="true" outlineLevel="0" collapsed="false">
      <c r="B30" s="18" t="s">
        <v>18</v>
      </c>
      <c r="C30" s="19" t="n">
        <f aca="false">'VYHODNOCENí 1.'!C30+'VYHODNOCENí 2.'!C30</f>
        <v>0</v>
      </c>
      <c r="D30" s="25" t="n">
        <f aca="false">'VYHODNOCENí 1.'!D30+'VYHODNOCENí 2.'!D30</f>
        <v>0</v>
      </c>
      <c r="E30" s="26" t="n">
        <f aca="false">'VYHODNOCENí 1.'!E30+'VYHODNOCENí 2.'!E30</f>
        <v>0</v>
      </c>
      <c r="F30" s="26" t="n">
        <f aca="false">'VYHODNOCENí 1.'!F30+'VYHODNOCENí 2.'!F30</f>
        <v>0</v>
      </c>
      <c r="G30" s="26" t="n">
        <f aca="false">'VYHODNOCENí 1.'!G30+'VYHODNOCENí 2.'!G30</f>
        <v>0</v>
      </c>
      <c r="H30" s="27" t="n">
        <f aca="false">'VYHODNOCENí 1.'!H30+'VYHODNOCENí 2.'!H30</f>
        <v>0</v>
      </c>
      <c r="I30" s="28" t="n">
        <f aca="false">IF(C30&lt;&gt;0,H30/(C30/100),0)</f>
        <v>0</v>
      </c>
      <c r="J30" s="13"/>
    </row>
    <row r="31" customFormat="false" ht="17.25" hidden="false" customHeight="true" outlineLevel="0" collapsed="false">
      <c r="B31" s="18" t="s">
        <v>19</v>
      </c>
      <c r="C31" s="19" t="n">
        <f aca="false">'VYHODNOCENí 1.'!C31+'VYHODNOCENí 2.'!C31</f>
        <v>0</v>
      </c>
      <c r="D31" s="29" t="n">
        <f aca="false">'VYHODNOCENí 1.'!D31+'VYHODNOCENí 2.'!D31</f>
        <v>0</v>
      </c>
      <c r="E31" s="30" t="n">
        <f aca="false">'VYHODNOCENí 1.'!E31+'VYHODNOCENí 2.'!E31</f>
        <v>0</v>
      </c>
      <c r="F31" s="41" t="n">
        <f aca="false">'VYHODNOCENí 1.'!F31+'VYHODNOCENí 2.'!F31</f>
        <v>0</v>
      </c>
      <c r="G31" s="30" t="n">
        <f aca="false">'VYHODNOCENí 1.'!G31+'VYHODNOCENí 2.'!G31</f>
        <v>0</v>
      </c>
      <c r="H31" s="31" t="n">
        <f aca="false">'VYHODNOCENí 1.'!H31+'VYHODNOCENí 2.'!H31</f>
        <v>0</v>
      </c>
      <c r="I31" s="32" t="n">
        <f aca="false">IF(C31&lt;&gt;0,H31/(C31/100),0)</f>
        <v>0</v>
      </c>
      <c r="J31" s="13"/>
    </row>
    <row r="32" customFormat="false" ht="17.25" hidden="false" customHeight="true" outlineLevel="0" collapsed="false">
      <c r="B32" s="9" t="s">
        <v>20</v>
      </c>
      <c r="C32" s="19" t="n">
        <f aca="false">SUM(C27:C31)</f>
        <v>90</v>
      </c>
      <c r="D32" s="20" t="n">
        <f aca="false">SUM(D27:D31)</f>
        <v>34</v>
      </c>
      <c r="E32" s="21" t="n">
        <f aca="false">SUM(E27:E31)</f>
        <v>25</v>
      </c>
      <c r="F32" s="21" t="n">
        <f aca="false">SUM(F27:F31)</f>
        <v>17</v>
      </c>
      <c r="G32" s="21" t="n">
        <f aca="false">SUM(G27:G31)</f>
        <v>20</v>
      </c>
      <c r="H32" s="22" t="n">
        <f aca="false">SUM(H27:H31)</f>
        <v>16</v>
      </c>
      <c r="I32" s="23" t="n">
        <f aca="false">IF(C32&lt;&gt;0,H32/(C32/100),0)</f>
        <v>17.7777777777778</v>
      </c>
      <c r="J32" s="13"/>
    </row>
    <row r="33" customFormat="false" ht="15.75" hidden="false" customHeight="true" outlineLevel="0" collapsed="false">
      <c r="B33" s="33"/>
      <c r="C33" s="33"/>
      <c r="D33" s="33"/>
      <c r="E33" s="33"/>
      <c r="F33" s="33"/>
      <c r="G33" s="33"/>
      <c r="H33" s="33"/>
      <c r="I33" s="33"/>
    </row>
    <row r="34" customFormat="false" ht="21.95" hidden="false" customHeight="true" outlineLevel="0" collapsed="false">
      <c r="B34" s="3" t="s">
        <v>34</v>
      </c>
      <c r="C34" s="2"/>
      <c r="D34" s="2"/>
      <c r="E34" s="5"/>
      <c r="F34" s="6"/>
      <c r="G34" s="4"/>
      <c r="H34" s="5" t="s">
        <v>3</v>
      </c>
      <c r="I34" s="6" t="s">
        <v>4</v>
      </c>
    </row>
    <row r="35" customFormat="false" ht="15.75" hidden="false" customHeight="true" outlineLevel="0" collapsed="false">
      <c r="B35" s="7"/>
      <c r="C35" s="7"/>
      <c r="D35" s="7"/>
      <c r="E35" s="7"/>
      <c r="F35" s="7"/>
      <c r="G35" s="7"/>
      <c r="H35" s="7"/>
      <c r="I35" s="7"/>
    </row>
    <row r="36" customFormat="false" ht="17.25" hidden="false" customHeight="true" outlineLevel="0" collapsed="false">
      <c r="B36" s="8"/>
      <c r="C36" s="8"/>
      <c r="D36" s="11" t="s">
        <v>5</v>
      </c>
      <c r="E36" s="11"/>
      <c r="F36" s="11"/>
      <c r="G36" s="11"/>
      <c r="H36" s="11"/>
      <c r="I36" s="11"/>
    </row>
    <row r="37" customFormat="false" ht="17.25" hidden="false" customHeight="true" outlineLevel="0" collapsed="false">
      <c r="B37" s="11" t="s">
        <v>6</v>
      </c>
      <c r="C37" s="9" t="s">
        <v>7</v>
      </c>
      <c r="D37" s="9"/>
      <c r="E37" s="12"/>
      <c r="F37" s="12"/>
      <c r="G37" s="12"/>
      <c r="H37" s="11" t="s">
        <v>27</v>
      </c>
      <c r="I37" s="11"/>
    </row>
    <row r="38" customFormat="false" ht="17.25" hidden="false" customHeight="true" outlineLevel="0" collapsed="false">
      <c r="B38" s="14"/>
      <c r="C38" s="14" t="s">
        <v>28</v>
      </c>
      <c r="D38" s="34" t="s">
        <v>29</v>
      </c>
      <c r="E38" s="35" t="s">
        <v>30</v>
      </c>
      <c r="F38" s="36" t="s">
        <v>31</v>
      </c>
      <c r="G38" s="36"/>
      <c r="H38" s="17" t="s">
        <v>32</v>
      </c>
      <c r="I38" s="17"/>
    </row>
    <row r="39" customFormat="false" ht="17.25" hidden="false" customHeight="true" outlineLevel="0" collapsed="false">
      <c r="B39" s="18" t="s">
        <v>35</v>
      </c>
      <c r="C39" s="42" t="n">
        <f aca="false">'VYHODNOCENí I.'!C39+'VYHODNOCENí II.'!C39+'VYHODNOCENí III.'!C39</f>
        <v>420</v>
      </c>
      <c r="D39" s="43" t="n">
        <f aca="false">'VYHODNOCENí I.'!D39+'VYHODNOCENí II.'!D39+'VYHODNOCENí III.'!D39</f>
        <v>104</v>
      </c>
      <c r="E39" s="44" t="n">
        <f aca="false">'VYHODNOCENí I.'!E39+'VYHODNOCENí II.'!E39+'VYHODNOCENí III.'!E39</f>
        <v>220</v>
      </c>
      <c r="F39" s="45" t="n">
        <f aca="false">'VYHODNOCENí I.'!F39+'VYHODNOCENí II.'!F39+'VYHODNOCENí III.'!F39</f>
        <v>95</v>
      </c>
      <c r="G39" s="45" t="n">
        <f aca="false">'VYHODNOCENí I.'!G39+'VYHODNOCENí II.'!G39+'VYHODNOCENí III.'!G39</f>
        <v>0</v>
      </c>
      <c r="H39" s="40" t="n">
        <f aca="false">IF(C39&lt;&gt;0,F39/(C39/100),0)</f>
        <v>22.6190476190476</v>
      </c>
      <c r="I39" s="40"/>
    </row>
    <row r="40" customFormat="false" ht="15.75" hidden="false" customHeight="true" outlineLevel="0" collapsed="false"/>
    <row r="41" customFormat="false" ht="21.85" hidden="false" customHeight="true" outlineLevel="0" collapsed="false">
      <c r="B41" s="3" t="s">
        <v>36</v>
      </c>
    </row>
    <row r="42" customFormat="false" ht="15.75" hidden="false" customHeight="true" outlineLevel="0" collapsed="false"/>
    <row r="43" customFormat="false" ht="15.75" hidden="false" customHeight="true" outlineLevel="0" collapsed="false">
      <c r="B43" s="55" t="s">
        <v>37</v>
      </c>
      <c r="C43" s="55"/>
      <c r="D43" s="56" t="s">
        <v>28</v>
      </c>
    </row>
    <row r="44" customFormat="false" ht="15.75" hidden="false" customHeight="true" outlineLevel="0" collapsed="false">
      <c r="B44" s="57" t="s">
        <v>53</v>
      </c>
      <c r="C44" s="58"/>
      <c r="D44" s="59" t="n">
        <f aca="false">'VYHODNOCENí I.'!D44+'VYHODNOCENí II.'!D44+'VYHODNOCENí III.'!D44</f>
        <v>60</v>
      </c>
    </row>
    <row r="45" customFormat="false" ht="15.75" hidden="false" customHeight="true" outlineLevel="0" collapsed="false">
      <c r="B45" s="60" t="s">
        <v>39</v>
      </c>
      <c r="C45" s="61"/>
      <c r="D45" s="62" t="n">
        <f aca="false">'VYHODNOCENí I.'!D45+'VYHODNOCENí II.'!D45+'VYHODNOCENí III.'!D45</f>
        <v>99</v>
      </c>
    </row>
    <row r="46" customFormat="false" ht="15.75" hidden="false" customHeight="true" outlineLevel="0" collapsed="false">
      <c r="B46" s="60" t="s">
        <v>40</v>
      </c>
      <c r="C46" s="63"/>
      <c r="D46" s="62" t="n">
        <f aca="false">'VYHODNOCENí I.'!D46+'VYHODNOCENí II.'!D46+'VYHODNOCENí III.'!D46</f>
        <v>108</v>
      </c>
    </row>
    <row r="47" customFormat="false" ht="15.75" hidden="false" customHeight="true" outlineLevel="0" collapsed="false">
      <c r="B47" s="60" t="s">
        <v>41</v>
      </c>
      <c r="C47" s="63"/>
      <c r="D47" s="62" t="n">
        <f aca="false">'VYHODNOCENí I.'!D47+'VYHODNOCENí II.'!D47+'VYHODNOCENí III.'!D47</f>
        <v>85</v>
      </c>
    </row>
    <row r="48" customFormat="false" ht="15.75" hidden="false" customHeight="true" outlineLevel="0" collapsed="false">
      <c r="B48" s="64" t="s">
        <v>42</v>
      </c>
      <c r="C48" s="65"/>
      <c r="D48" s="66" t="n">
        <f aca="false">'VYHODNOCENí I.'!D48+'VYHODNOCENí II.'!D48+'VYHODNOCENí III.'!D48</f>
        <v>90</v>
      </c>
    </row>
    <row r="49" customFormat="false" ht="15.75" hidden="false" customHeight="true" outlineLevel="0" collapsed="false">
      <c r="B49" s="64" t="s">
        <v>43</v>
      </c>
      <c r="C49" s="65"/>
      <c r="D49" s="66" t="n">
        <f aca="false">'VYHODNOCENí I.'!D49+'VYHODNOCENí II.'!D49+'VYHODNOCENí III.'!D49</f>
        <v>85</v>
      </c>
    </row>
    <row r="50" customFormat="false" ht="12.75" hidden="false" customHeight="false" outlineLevel="0" collapsed="false">
      <c r="B50" s="67" t="s">
        <v>54</v>
      </c>
      <c r="C50" s="68"/>
      <c r="D50" s="69" t="n">
        <f aca="false">47+80</f>
        <v>127</v>
      </c>
    </row>
    <row r="51" customFormat="false" ht="12.75" hidden="false" customHeight="false" outlineLevel="0" collapsed="false">
      <c r="B51" s="70" t="s">
        <v>20</v>
      </c>
      <c r="C51" s="71"/>
      <c r="D51" s="72" t="n">
        <f aca="false">SUM(D44:D50)</f>
        <v>654</v>
      </c>
    </row>
    <row r="53" customFormat="false" ht="23.25" hidden="false" customHeight="true" outlineLevel="0" collapsed="false">
      <c r="B53" s="46" t="s">
        <v>22</v>
      </c>
    </row>
    <row r="54" customFormat="false" ht="15.75" hidden="false" customHeight="true" outlineLevel="0" collapsed="false"/>
    <row r="55" customFormat="false" ht="24" hidden="false" customHeight="true" outlineLevel="0" collapsed="false">
      <c r="B55" s="47" t="s">
        <v>55</v>
      </c>
      <c r="C55" s="48"/>
      <c r="D55" s="48"/>
      <c r="E55" s="48"/>
      <c r="F55" s="48"/>
      <c r="G55" s="49"/>
      <c r="H55" s="50" t="n">
        <f aca="false">C12+C32</f>
        <v>3011</v>
      </c>
    </row>
    <row r="56" customFormat="false" ht="24" hidden="false" customHeight="true" outlineLevel="0" collapsed="false">
      <c r="B56" s="82" t="s">
        <v>56</v>
      </c>
      <c r="C56" s="83"/>
      <c r="D56" s="83"/>
      <c r="E56" s="83"/>
      <c r="F56" s="83"/>
      <c r="G56" s="84"/>
      <c r="H56" s="85" t="n">
        <f aca="false">C19+C39</f>
        <v>640</v>
      </c>
    </row>
    <row r="57" customFormat="false" ht="24" hidden="false" customHeight="true" outlineLevel="0" collapsed="false">
      <c r="B57" s="51" t="s">
        <v>57</v>
      </c>
      <c r="C57" s="52"/>
      <c r="D57" s="52"/>
      <c r="E57" s="52"/>
      <c r="F57" s="52"/>
      <c r="G57" s="53"/>
      <c r="H57" s="54" t="n">
        <f aca="false">D51</f>
        <v>654</v>
      </c>
    </row>
    <row r="58" customFormat="false" ht="24" hidden="false" customHeight="true" outlineLevel="0" collapsed="false">
      <c r="B58" s="51" t="s">
        <v>58</v>
      </c>
      <c r="C58" s="52"/>
      <c r="D58" s="52"/>
      <c r="E58" s="52"/>
      <c r="F58" s="52"/>
      <c r="G58" s="53"/>
      <c r="H58" s="54" t="n">
        <f aca="false">SUM(H55:H57)</f>
        <v>4305</v>
      </c>
    </row>
    <row r="59" customFormat="false" ht="15.75" hidden="false" customHeight="true" outlineLevel="0" collapsed="false"/>
  </sheetData>
  <mergeCells count="14">
    <mergeCell ref="D4:I4"/>
    <mergeCell ref="D16:I16"/>
    <mergeCell ref="H17:I17"/>
    <mergeCell ref="F18:G18"/>
    <mergeCell ref="H18:I18"/>
    <mergeCell ref="H19:I19"/>
    <mergeCell ref="D24:I24"/>
    <mergeCell ref="D36:I36"/>
    <mergeCell ref="H37:I37"/>
    <mergeCell ref="F38:G38"/>
    <mergeCell ref="H38:I38"/>
    <mergeCell ref="F39:G39"/>
    <mergeCell ref="H39:I39"/>
    <mergeCell ref="B43:C43"/>
  </mergeCells>
  <printOptions headings="false" gridLines="false" gridLinesSet="true" horizontalCentered="true" verticalCentered="true"/>
  <pageMargins left="0.275694444444444" right="0.275694444444444" top="0.511805555555555" bottom="0.51180555555555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Roman,obyčejné"&amp;24Vyhodnocení plavecké výuky škol. roku 2012/2013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2146</TotalTime>
  <Application>LibreOffice/6.1.5.2$Windows_x86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cs-CZ</dc:language>
  <cp:lastModifiedBy/>
  <dcterms:modified xsi:type="dcterms:W3CDTF">2019-04-14T14:43:10Z</dcterms:modified>
  <cp:revision>9</cp:revision>
  <dc:subject/>
  <dc:title/>
</cp:coreProperties>
</file>